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firstSheet="4" activeTab="10"/>
  </bookViews>
  <sheets>
    <sheet name="на 01.01.2011" sheetId="1" r:id="rId1"/>
    <sheet name="на 31.03.11" sheetId="2" r:id="rId2"/>
    <sheet name="на 30.06.11" sheetId="3" r:id="rId3"/>
    <sheet name="на 30.09.11" sheetId="4" r:id="rId4"/>
    <sheet name="на 31.12.11" sheetId="5" r:id="rId5"/>
    <sheet name="на 31.03.12" sheetId="6" r:id="rId6"/>
    <sheet name="на 30.06.12" sheetId="7" r:id="rId7"/>
    <sheet name="на 30.09.12" sheetId="8" r:id="rId8"/>
    <sheet name="на 31.12.12" sheetId="9" r:id="rId9"/>
    <sheet name="на 31.03.13" sheetId="10" r:id="rId10"/>
    <sheet name="на 28.06.2013" sheetId="11" r:id="rId11"/>
  </sheets>
  <definedNames>
    <definedName name="_xlnm.Print_Area" localSheetId="7">'на 30.09.12'!$A$1:$R$7</definedName>
    <definedName name="_xlnm.Print_Area" localSheetId="8">'на 31.12.12'!$A$1:$R$10</definedName>
  </definedNames>
  <calcPr fullCalcOnLoad="1"/>
</workbook>
</file>

<file path=xl/sharedStrings.xml><?xml version="1.0" encoding="utf-8"?>
<sst xmlns="http://schemas.openxmlformats.org/spreadsheetml/2006/main" count="309" uniqueCount="40">
  <si>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</si>
  <si>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</si>
  <si>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</si>
  <si>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</si>
  <si>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</si>
  <si>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</si>
  <si>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</si>
  <si>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</si>
  <si>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</si>
  <si>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</si>
  <si>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</si>
  <si>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</si>
  <si>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</si>
  <si>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</si>
  <si>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</si>
  <si>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</si>
  <si>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</si>
  <si>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</si>
  <si>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</si>
  <si>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</si>
  <si>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</si>
  <si>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</si>
  <si>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</si>
  <si>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ПФ ОАО "ПКС" "Электрические сети"</t>
  </si>
  <si>
    <t>Всего по Петрозаводскому филиалу (в том числе ПС-51П, ПС-68)</t>
  </si>
  <si>
    <t>Информация по фактическим и перспективным нагрузкам центров питания 35-110 кВ ПФ ОАО "ПКС" "Электрические сети" на 31.03.2011 г.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</si>
  <si>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</si>
  <si>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Информация по фактическим и перспективным нагрузкам центров питания 35-110 кВ ПФ ОАО "ПКС" "Электрические сети" на 01.01.2011 г.</t>
  </si>
  <si>
    <t>Планируемый резерв мощности на конец года с учетом присоединеных потребителей, заключенных договоров на ТП и реализации планов капитальных вложений (ИП), кВА</t>
  </si>
  <si>
    <t>Информация по фактическим и перспективным нагрузкам центров питания 35-110 кВ ПФ ОАО "ПКС" "Электрические сети" на 30.06.2011 г.</t>
  </si>
  <si>
    <t>Информация по фактическим и перспективным нагрузкам центров питания 35-110 кВ ПФ ОАО "ПКС" "Электрические сети" на 30.09.2011 г.</t>
  </si>
  <si>
    <t>Информация по фактическим и перспективным нагрузкам центров питания 35-110 кВ ПФ ОАО "ПКС" "Электрические сети" на 31.12.2011 г.</t>
  </si>
  <si>
    <t>Информация по фактическим и перспективным нагрузкам центров питания 35-110 кВ ПФ ОАО "ПКС" "Электрические сети" на 31.03.2012 г.</t>
  </si>
  <si>
    <t>Информация по фактическим и перспективным нагрузкам центров питания 35-110 кВ ПФ ОАО "ПКС" "Электрические сети" на 30.06.2012 г.</t>
  </si>
  <si>
    <t>Информация по фактическим и перспективным нагрузкам центров питания 6-110 кВ ПФ ОАО "ПКС" "Электрические сети" на 30.09.2012 г.</t>
  </si>
  <si>
    <t>Информация по фактическим и перспективным нагрузкам центров питания 6-110 кВ ПФ ОАО "ПКС" "Электрические сети" на 31.12.2012 г.</t>
  </si>
  <si>
    <t>* Максимальная фактическая нагрузка по замерам в зимний режимный день 19.12.12г., т.е. с учетом вновь присоед. потребителей до декабря 2012г.</t>
  </si>
  <si>
    <t>** Мощность вновь присоед. потребителей в текущем году, а именно в декабре 2012г., т.к. факт макс. нагрузка учитывает предыдущие подключения.</t>
  </si>
  <si>
    <t>Информация по фактическим и перспективным нагрузкам центров питания 6-110 кВ ПФ ОАО "ПКС" "Электрические сети" на 31.03.2013 г.</t>
  </si>
  <si>
    <t>Информация по фактическим и перспективным нагрузкам центров питания 6-110 кВ ПФ ОАО "ПКС" "Электрические сети" на 28.06.2013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</si>
</sst>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3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3" fillId="0" borderId="0" xfId="54" applyFont="1" applyBorder="1">
      <alignment/>
      <protection/>
    </xf>
    <xf numFmtId="0" fontId="8" fillId="0" borderId="0" xfId="54">
      <alignment/>
      <protection/>
    </xf>
    <xf numFmtId="0" fontId="23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0" borderId="0" xfId="54" applyFill="1">
      <alignment/>
      <protection/>
    </xf>
    <xf numFmtId="0" fontId="23" fillId="0" borderId="0" xfId="54" applyFont="1" applyAlignment="1">
      <alignment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 textRotation="90" wrapText="1"/>
      <protection/>
    </xf>
    <xf numFmtId="0" fontId="22" fillId="0" borderId="11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textRotation="90" wrapText="1"/>
      <protection/>
    </xf>
    <xf numFmtId="0" fontId="22" fillId="0" borderId="13" xfId="54" applyFont="1" applyFill="1" applyBorder="1" applyAlignment="1">
      <alignment horizontal="center" vertical="center" textRotation="90" wrapText="1"/>
      <protection/>
    </xf>
    <xf numFmtId="0" fontId="26" fillId="0" borderId="14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 applyAlignment="1">
      <alignment horizontal="center" vertical="center" wrapText="1"/>
      <protection/>
    </xf>
    <xf numFmtId="0" fontId="22" fillId="0" borderId="14" xfId="55" applyFont="1" applyFill="1" applyBorder="1" applyAlignment="1">
      <alignment horizontal="center" vertical="center" wrapText="1"/>
      <protection/>
    </xf>
    <xf numFmtId="0" fontId="25" fillId="0" borderId="15" xfId="55" applyFont="1" applyFill="1" applyBorder="1" applyAlignment="1">
      <alignment horizontal="center" vertical="center" wrapText="1"/>
      <protection/>
    </xf>
    <xf numFmtId="1" fontId="27" fillId="0" borderId="14" xfId="55" applyNumberFormat="1" applyFont="1" applyFill="1" applyBorder="1" applyAlignment="1">
      <alignment horizontal="center" vertical="center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2" fontId="24" fillId="23" borderId="17" xfId="55" applyNumberFormat="1" applyFont="1" applyFill="1" applyBorder="1" applyAlignment="1">
      <alignment horizontal="center" vertical="center"/>
      <protection/>
    </xf>
    <xf numFmtId="2" fontId="24" fillId="23" borderId="18" xfId="55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4" fillId="0" borderId="20" xfId="54" applyFont="1" applyFill="1" applyBorder="1" applyAlignment="1">
      <alignment vertical="center" wrapText="1"/>
      <protection/>
    </xf>
    <xf numFmtId="0" fontId="23" fillId="0" borderId="20" xfId="54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1" fontId="24" fillId="0" borderId="21" xfId="55" applyNumberFormat="1" applyFont="1" applyFill="1" applyBorder="1" applyAlignment="1">
      <alignment horizontal="center" vertical="center"/>
      <protection/>
    </xf>
    <xf numFmtId="1" fontId="24" fillId="0" borderId="20" xfId="55" applyNumberFormat="1" applyFont="1" applyFill="1" applyBorder="1" applyAlignment="1">
      <alignment horizontal="center" vertical="center"/>
      <protection/>
    </xf>
    <xf numFmtId="1" fontId="24" fillId="0" borderId="18" xfId="55" applyNumberFormat="1" applyFont="1" applyFill="1" applyBorder="1" applyAlignment="1">
      <alignment horizontal="center" vertical="center"/>
      <protection/>
    </xf>
    <xf numFmtId="1" fontId="23" fillId="0" borderId="20" xfId="54" applyNumberFormat="1" applyFont="1" applyFill="1" applyBorder="1" applyAlignment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>
      <alignment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2" fontId="24" fillId="0" borderId="0" xfId="55" applyNumberFormat="1" applyFont="1" applyFill="1" applyBorder="1" applyAlignment="1">
      <alignment horizontal="center" vertical="center"/>
      <protection/>
    </xf>
    <xf numFmtId="1" fontId="24" fillId="0" borderId="0" xfId="55" applyNumberFormat="1" applyFont="1" applyFill="1" applyBorder="1">
      <alignment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 applyAlignment="1">
      <alignment wrapText="1"/>
      <protection/>
    </xf>
    <xf numFmtId="2" fontId="24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Border="1">
      <alignment/>
      <protection/>
    </xf>
    <xf numFmtId="0" fontId="8" fillId="0" borderId="0" xfId="54" applyFont="1" applyFill="1" applyBorder="1">
      <alignment/>
      <protection/>
    </xf>
    <xf numFmtId="0" fontId="23" fillId="0" borderId="0" xfId="54" applyFont="1" applyBorder="1" applyAlignment="1">
      <alignment wrapText="1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justify"/>
    </xf>
    <xf numFmtId="0" fontId="32" fillId="0" borderId="22" xfId="54" applyFont="1" applyFill="1" applyBorder="1">
      <alignment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2" fontId="23" fillId="23" borderId="18" xfId="55" applyNumberFormat="1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0" fontId="29" fillId="0" borderId="0" xfId="54" applyFont="1" applyBorder="1" applyAlignment="1">
      <alignment horizontal="center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Border="1" applyAlignment="1">
      <alignment horizontal="left"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3">
      <selection activeCell="I7" sqref="I7"/>
    </sheetView>
  </sheetViews>
  <sheetFormatPr defaultColWidth="9.00390625" defaultRowHeight="12.75"/>
  <cols>
    <col min="3" max="3" width="14.375" style="0" customWidth="1"/>
  </cols>
  <sheetData>
    <row r="1" spans="1:15" ht="15.7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 thickBot="1">
      <c r="A2" s="7"/>
      <c r="B2" s="8"/>
      <c r="C2" s="7"/>
      <c r="D2" s="7"/>
      <c r="E2" s="7"/>
      <c r="F2" s="7"/>
      <c r="G2" s="9"/>
      <c r="H2" s="7"/>
      <c r="I2" s="7"/>
      <c r="J2" s="7"/>
      <c r="K2" s="7"/>
      <c r="L2" s="7"/>
      <c r="M2" s="7"/>
      <c r="N2" s="7"/>
      <c r="O2" s="11"/>
    </row>
    <row r="3" spans="1:15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5" t="s">
        <v>15</v>
      </c>
      <c r="I3" s="13" t="s">
        <v>16</v>
      </c>
      <c r="J3" s="13" t="s">
        <v>18</v>
      </c>
      <c r="K3" s="13" t="s">
        <v>19</v>
      </c>
      <c r="L3" s="13" t="s">
        <v>20</v>
      </c>
      <c r="M3" s="13" t="s">
        <v>21</v>
      </c>
      <c r="N3" s="14" t="s">
        <v>28</v>
      </c>
      <c r="O3" s="16" t="s">
        <v>22</v>
      </c>
    </row>
    <row r="4" spans="1:15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18">
        <v>8</v>
      </c>
      <c r="I4" s="18">
        <v>9</v>
      </c>
      <c r="J4" s="18">
        <v>10</v>
      </c>
      <c r="K4" s="21">
        <v>11</v>
      </c>
      <c r="L4" s="21">
        <v>12</v>
      </c>
      <c r="M4" s="21">
        <v>13</v>
      </c>
      <c r="N4" s="21">
        <v>14</v>
      </c>
      <c r="O4" s="22">
        <v>15</v>
      </c>
    </row>
    <row r="5" spans="1:15" ht="38.25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2*2321</f>
        <v>4642</v>
      </c>
      <c r="H5" s="29">
        <v>170</v>
      </c>
      <c r="I5" s="30">
        <v>1253</v>
      </c>
      <c r="J5" s="31">
        <v>188.88888888888889</v>
      </c>
      <c r="K5" s="29">
        <v>4124</v>
      </c>
      <c r="L5" s="32">
        <v>3041</v>
      </c>
      <c r="M5" s="33">
        <v>0</v>
      </c>
      <c r="N5" s="32">
        <v>2871</v>
      </c>
      <c r="O5" s="34"/>
    </row>
    <row r="6" spans="1:15" ht="38.25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2*1886</f>
        <v>3772</v>
      </c>
      <c r="H6" s="29">
        <v>74</v>
      </c>
      <c r="I6" s="30">
        <v>23720</v>
      </c>
      <c r="J6" s="31">
        <v>82.22222222222221</v>
      </c>
      <c r="K6" s="29">
        <v>64190</v>
      </c>
      <c r="L6" s="32">
        <v>40544</v>
      </c>
      <c r="M6" s="33">
        <v>0</v>
      </c>
      <c r="N6" s="32">
        <v>40470</v>
      </c>
      <c r="O6" s="34"/>
    </row>
    <row r="7" spans="1:15" ht="28.5" customHeight="1">
      <c r="A7" s="25">
        <v>3</v>
      </c>
      <c r="B7" s="51" t="s">
        <v>24</v>
      </c>
      <c r="C7" s="52"/>
      <c r="D7" s="52"/>
      <c r="E7" s="53"/>
      <c r="F7" s="27">
        <v>289608.3333333334</v>
      </c>
      <c r="G7" s="28">
        <v>79913</v>
      </c>
      <c r="H7" s="29">
        <v>22619.285714285717</v>
      </c>
      <c r="I7" s="30">
        <v>26609.785714285714</v>
      </c>
      <c r="J7" s="31">
        <v>5772.222222222222</v>
      </c>
      <c r="K7" s="32">
        <v>140684.5</v>
      </c>
      <c r="L7" s="32">
        <v>136694</v>
      </c>
      <c r="M7" s="33">
        <v>0</v>
      </c>
      <c r="N7" s="32">
        <v>130267</v>
      </c>
      <c r="O7" s="34"/>
    </row>
    <row r="10" ht="12.75">
      <c r="B10" s="45"/>
    </row>
  </sheetData>
  <sheetProtection/>
  <mergeCells count="2">
    <mergeCell ref="A1:O1"/>
    <mergeCell ref="B7:E7"/>
  </mergeCells>
  <printOptions horizontalCentered="1"/>
  <pageMargins left="0.5118110236220472" right="0.5118110236220472" top="0.9448818897637796" bottom="0.5511811023622047" header="0" footer="0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90" zoomScaleNormal="90" zoomScalePageLayoutView="0" workbookViewId="0" topLeftCell="A1">
      <selection activeCell="A1" sqref="A1:R1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4927/0.9</f>
        <v>5474.444444444444</v>
      </c>
      <c r="H5" s="23"/>
      <c r="I5" s="23"/>
      <c r="J5" s="47">
        <f>25/0.9</f>
        <v>27.77777777777778</v>
      </c>
      <c r="K5" s="28">
        <f>115/0.9</f>
        <v>127.77777777777777</v>
      </c>
      <c r="L5" s="48"/>
      <c r="M5" s="28">
        <f>15/0.9</f>
        <v>16.666666666666668</v>
      </c>
      <c r="N5" s="47">
        <f>F5-G5-J5</f>
        <v>1112.7777777777778</v>
      </c>
      <c r="O5" s="32">
        <f>F5-G5-K5</f>
        <v>1012.7777777777778</v>
      </c>
      <c r="P5" s="33">
        <v>0</v>
      </c>
      <c r="Q5" s="32">
        <f>N5-K5</f>
        <v>985</v>
      </c>
      <c r="R5" s="46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8069/0.9</f>
        <v>8965.555555555555</v>
      </c>
      <c r="H6" s="23"/>
      <c r="I6" s="23"/>
      <c r="J6" s="47">
        <v>0</v>
      </c>
      <c r="K6" s="28">
        <f>30/0.9</f>
        <v>33.333333333333336</v>
      </c>
      <c r="L6" s="48"/>
      <c r="M6" s="49">
        <f>1430/0.9</f>
        <v>1588.888888888889</v>
      </c>
      <c r="N6" s="47">
        <f>F6-G6-J6</f>
        <v>57184.444444444445</v>
      </c>
      <c r="O6" s="32">
        <f>F6-G6-K6</f>
        <v>57151.11111111111</v>
      </c>
      <c r="P6" s="33">
        <v>0</v>
      </c>
      <c r="Q6" s="32">
        <f>N6-K6</f>
        <v>57151.11111111111</v>
      </c>
      <c r="R6" s="46"/>
    </row>
    <row r="7" spans="1:18" ht="76.5" customHeight="1">
      <c r="A7" s="25">
        <v>3</v>
      </c>
      <c r="B7" s="51" t="s">
        <v>24</v>
      </c>
      <c r="C7" s="52"/>
      <c r="D7" s="52"/>
      <c r="E7" s="53"/>
      <c r="F7" s="32">
        <f>485033/0.9</f>
        <v>538925.5555555555</v>
      </c>
      <c r="G7" s="28">
        <f>179096/0.9</f>
        <v>198995.55555555556</v>
      </c>
      <c r="H7" s="23"/>
      <c r="I7" s="23"/>
      <c r="J7" s="47">
        <f>2577.46/0.9</f>
        <v>2863.8444444444444</v>
      </c>
      <c r="K7" s="28">
        <f>2319.95/0.9</f>
        <v>2577.722222222222</v>
      </c>
      <c r="L7" s="48"/>
      <c r="M7" s="49">
        <f>3925.2/0.9</f>
        <v>4361.333333333333</v>
      </c>
      <c r="N7" s="47">
        <f>F7-G7-J7</f>
        <v>337066.1555555555</v>
      </c>
      <c r="O7" s="32">
        <f>F7-G7-K7</f>
        <v>337352.2777777777</v>
      </c>
      <c r="P7" s="33">
        <v>0</v>
      </c>
      <c r="Q7" s="32">
        <f>N7-K7</f>
        <v>334488.43333333323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58" t="s">
        <v>36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5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A1:R1"/>
    <mergeCell ref="B7:E7"/>
    <mergeCell ref="A9:R9"/>
    <mergeCell ref="A10:R10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6"/>
    <mergeCell ref="B34:B36"/>
    <mergeCell ref="D34:D36"/>
    <mergeCell ref="A37:A38"/>
    <mergeCell ref="B37:B38"/>
    <mergeCell ref="D37:D3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="90" zoomScaleNormal="90" zoomScalePageLayoutView="0" workbookViewId="0" topLeftCell="A1">
      <selection activeCell="A1" sqref="A1:R1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4795/0.9</f>
        <v>5327.777777777777</v>
      </c>
      <c r="H5" s="23"/>
      <c r="I5" s="23"/>
      <c r="J5" s="47">
        <f>75/0.9</f>
        <v>83.33333333333333</v>
      </c>
      <c r="K5" s="28">
        <f>424/0.9</f>
        <v>471.1111111111111</v>
      </c>
      <c r="L5" s="48"/>
      <c r="M5" s="28">
        <f>50/0.9</f>
        <v>55.55555555555556</v>
      </c>
      <c r="N5" s="47">
        <f>F5-G5-J5</f>
        <v>1203.8888888888894</v>
      </c>
      <c r="O5" s="32">
        <f>F5-G5-K5</f>
        <v>816.1111111111115</v>
      </c>
      <c r="P5" s="33">
        <v>0</v>
      </c>
      <c r="Q5" s="32">
        <f>N5-K5</f>
        <v>732.7777777777783</v>
      </c>
      <c r="R5" s="46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5383/0.9</f>
        <v>5981.111111111111</v>
      </c>
      <c r="H6" s="23"/>
      <c r="I6" s="23"/>
      <c r="J6" s="47">
        <f>60/0.9</f>
        <v>66.66666666666667</v>
      </c>
      <c r="K6" s="28">
        <f>135/0.9</f>
        <v>150</v>
      </c>
      <c r="L6" s="48"/>
      <c r="M6" s="49">
        <f>1430/0.9</f>
        <v>1588.888888888889</v>
      </c>
      <c r="N6" s="47">
        <f>F6-G6-J6</f>
        <v>60102.222222222226</v>
      </c>
      <c r="O6" s="32">
        <f>F6-G6-K6</f>
        <v>60018.88888888889</v>
      </c>
      <c r="P6" s="33">
        <v>0</v>
      </c>
      <c r="Q6" s="32">
        <f>N6-K6</f>
        <v>59952.222222222226</v>
      </c>
      <c r="R6" s="46"/>
    </row>
    <row r="7" spans="1:18" ht="76.5" customHeight="1">
      <c r="A7" s="25">
        <v>3</v>
      </c>
      <c r="B7" s="51" t="s">
        <v>24</v>
      </c>
      <c r="C7" s="52"/>
      <c r="D7" s="52"/>
      <c r="E7" s="53"/>
      <c r="F7" s="32">
        <f>485033/0.9</f>
        <v>538925.5555555555</v>
      </c>
      <c r="G7" s="28">
        <f>134687/0.9</f>
        <v>149652.22222222222</v>
      </c>
      <c r="H7" s="23"/>
      <c r="I7" s="23"/>
      <c r="J7" s="47">
        <f>2190.8/0.9</f>
        <v>2434.222222222222</v>
      </c>
      <c r="K7" s="28">
        <f>6268.1/0.9</f>
        <v>6964.555555555556</v>
      </c>
      <c r="L7" s="48"/>
      <c r="M7" s="49">
        <f>4976/0.9</f>
        <v>5528.888888888889</v>
      </c>
      <c r="N7" s="47">
        <f>F7-G7-J7</f>
        <v>386839.111111111</v>
      </c>
      <c r="O7" s="32">
        <f>F7-G7-K7</f>
        <v>382308.7777777777</v>
      </c>
      <c r="P7" s="33">
        <v>0</v>
      </c>
      <c r="Q7" s="32">
        <f>N7-K7</f>
        <v>379874.55555555545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A34:A36"/>
    <mergeCell ref="B34:B36"/>
    <mergeCell ref="D34:D36"/>
    <mergeCell ref="A37:A38"/>
    <mergeCell ref="B37:B38"/>
    <mergeCell ref="D37:D38"/>
    <mergeCell ref="A30:A31"/>
    <mergeCell ref="B30:B31"/>
    <mergeCell ref="D30:D31"/>
    <mergeCell ref="A32:A33"/>
    <mergeCell ref="B32:B33"/>
    <mergeCell ref="D32:D33"/>
    <mergeCell ref="A1:R1"/>
    <mergeCell ref="B7:E7"/>
    <mergeCell ref="A9:R9"/>
    <mergeCell ref="A10:R10"/>
    <mergeCell ref="A28:A29"/>
    <mergeCell ref="B28:B29"/>
    <mergeCell ref="D28:D29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v>0</v>
      </c>
      <c r="K5" s="30">
        <v>35.294</v>
      </c>
      <c r="L5" s="24"/>
      <c r="M5" s="30">
        <v>62.94</v>
      </c>
      <c r="N5" s="29">
        <f>F5-G5-J5</f>
        <v>1314.5780000000004</v>
      </c>
      <c r="O5" s="32">
        <f>F5-G5-K5</f>
        <v>1279.2840000000003</v>
      </c>
      <c r="P5" s="33">
        <v>0</v>
      </c>
      <c r="Q5" s="32">
        <f>N5-K5</f>
        <v>1279.2840000000003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v>0</v>
      </c>
      <c r="K6" s="30">
        <v>29.41</v>
      </c>
      <c r="L6" s="24"/>
      <c r="M6" s="31">
        <f>L6/0.9</f>
        <v>0</v>
      </c>
      <c r="N6" s="29">
        <f>F6-G6-J6</f>
        <v>61280.71</v>
      </c>
      <c r="O6" s="32">
        <f>F6-G6-K6</f>
        <v>61251.299999999996</v>
      </c>
      <c r="P6" s="33">
        <v>0</v>
      </c>
      <c r="Q6" s="32">
        <f>N6-K6</f>
        <v>61251.299999999996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27">
        <v>289608.3333333334</v>
      </c>
      <c r="G7" s="28">
        <v>167993</v>
      </c>
      <c r="H7" s="23"/>
      <c r="I7" s="23"/>
      <c r="J7" s="29">
        <v>2186.318</v>
      </c>
      <c r="K7" s="30">
        <v>2845.882</v>
      </c>
      <c r="L7" s="24"/>
      <c r="M7" s="31">
        <f>(6017.1-2419)/0.85</f>
        <v>4233.058823529413</v>
      </c>
      <c r="N7" s="29">
        <f>F7-G7-J7</f>
        <v>119429.01533333337</v>
      </c>
      <c r="O7" s="32">
        <f>F7-G7-K7</f>
        <v>118769.45133333337</v>
      </c>
      <c r="P7" s="33">
        <v>0</v>
      </c>
      <c r="Q7" s="32">
        <f>N7-K7</f>
        <v>116583.13333333338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1:R1"/>
    <mergeCell ref="B7:E7"/>
    <mergeCell ref="A32:A33"/>
    <mergeCell ref="B32:B33"/>
    <mergeCell ref="D32:D33"/>
    <mergeCell ref="A34:A36"/>
    <mergeCell ref="B34:B36"/>
    <mergeCell ref="D34:D36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v>0</v>
      </c>
      <c r="K5" s="30">
        <f>63+35.294</f>
        <v>98.294</v>
      </c>
      <c r="L5" s="24"/>
      <c r="M5" s="30">
        <f>56.5/0.9</f>
        <v>62.77777777777778</v>
      </c>
      <c r="N5" s="29">
        <f>F5-G5-J5</f>
        <v>1314.5780000000004</v>
      </c>
      <c r="O5" s="32">
        <f>F5-G5-K5</f>
        <v>1216.2840000000003</v>
      </c>
      <c r="P5" s="33">
        <v>0</v>
      </c>
      <c r="Q5" s="32">
        <f>N5-K5</f>
        <v>1216.2840000000003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v>0</v>
      </c>
      <c r="K6" s="30">
        <f>0+29.41</f>
        <v>29.41</v>
      </c>
      <c r="L6" s="24"/>
      <c r="M6" s="31">
        <f>2739.5/0.9</f>
        <v>3043.8888888888887</v>
      </c>
      <c r="N6" s="29">
        <f>F6-G6-J6</f>
        <v>61280.71</v>
      </c>
      <c r="O6" s="32">
        <f>F6-G6-K6</f>
        <v>61251.299999999996</v>
      </c>
      <c r="P6" s="33">
        <v>0</v>
      </c>
      <c r="Q6" s="32">
        <f>N6-K6</f>
        <v>61251.299999999996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27">
        <v>289608.3333333334</v>
      </c>
      <c r="G7" s="28">
        <v>167993</v>
      </c>
      <c r="H7" s="23"/>
      <c r="I7" s="23"/>
      <c r="J7" s="29">
        <f>5209.17/0.9</f>
        <v>5787.966666666666</v>
      </c>
      <c r="K7" s="30">
        <f>5208.4/0.9</f>
        <v>5787.11111111111</v>
      </c>
      <c r="L7" s="24"/>
      <c r="M7" s="31">
        <f>13691/0.9</f>
        <v>15212.222222222223</v>
      </c>
      <c r="N7" s="29">
        <f>F7-G7-J7</f>
        <v>115827.36666666671</v>
      </c>
      <c r="O7" s="32">
        <f>F7-G7-K7</f>
        <v>115828.22222222226</v>
      </c>
      <c r="P7" s="33">
        <v>0</v>
      </c>
      <c r="Q7" s="32">
        <f>N7-K7</f>
        <v>110040.2555555556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f>23/0.9</f>
        <v>25.555555555555554</v>
      </c>
      <c r="K5" s="30">
        <f>181.5/0.9</f>
        <v>201.66666666666666</v>
      </c>
      <c r="L5" s="24"/>
      <c r="M5" s="30">
        <f>15/0.9</f>
        <v>16.666666666666668</v>
      </c>
      <c r="N5" s="29">
        <f>F5-G5-J5</f>
        <v>1289.0224444444448</v>
      </c>
      <c r="O5" s="32">
        <f>F5-G5-K5</f>
        <v>1112.9113333333337</v>
      </c>
      <c r="P5" s="33">
        <v>0</v>
      </c>
      <c r="Q5" s="32">
        <f>N5-K5</f>
        <v>1087.355777777778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f>78.5/0.9</f>
        <v>87.22222222222221</v>
      </c>
      <c r="K6" s="30">
        <f>245.2/0.9</f>
        <v>272.4444444444444</v>
      </c>
      <c r="L6" s="24"/>
      <c r="M6" s="31">
        <f>1617/0.9</f>
        <v>1796.6666666666665</v>
      </c>
      <c r="N6" s="29">
        <f>F6-G6-J6</f>
        <v>61193.48777777778</v>
      </c>
      <c r="O6" s="32">
        <f>F6-G6-K6</f>
        <v>61008.265555555554</v>
      </c>
      <c r="P6" s="33">
        <v>0</v>
      </c>
      <c r="Q6" s="32">
        <f>N6-K6</f>
        <v>60921.043333333335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27">
        <v>289608.3333333334</v>
      </c>
      <c r="G7" s="28">
        <v>167993</v>
      </c>
      <c r="H7" s="23"/>
      <c r="I7" s="23"/>
      <c r="J7" s="29">
        <f>8564.97/0.9</f>
        <v>9516.633333333333</v>
      </c>
      <c r="K7" s="30">
        <f>7903.2/0.9</f>
        <v>8781.333333333332</v>
      </c>
      <c r="L7" s="24"/>
      <c r="M7" s="31">
        <f>4620.1/0.9</f>
        <v>5133.444444444444</v>
      </c>
      <c r="N7" s="29">
        <f>F7-G7-J7</f>
        <v>112098.70000000004</v>
      </c>
      <c r="O7" s="32">
        <f>F7-G7-K7</f>
        <v>112834.00000000004</v>
      </c>
      <c r="P7" s="33">
        <v>0</v>
      </c>
      <c r="Q7" s="32">
        <f>N7-K7</f>
        <v>103317.36666666671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B32" sqref="B32:B33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f>108/0.9</f>
        <v>120</v>
      </c>
      <c r="K5" s="30">
        <f>363.5/0.9</f>
        <v>403.88888888888886</v>
      </c>
      <c r="L5" s="24"/>
      <c r="M5" s="30">
        <f>0</f>
        <v>0</v>
      </c>
      <c r="N5" s="29">
        <f>F5-G5-J5</f>
        <v>1194.5780000000004</v>
      </c>
      <c r="O5" s="32">
        <f>F5-G5-K5</f>
        <v>910.6891111111115</v>
      </c>
      <c r="P5" s="33">
        <v>0</v>
      </c>
      <c r="Q5" s="32">
        <f>N5-K5</f>
        <v>790.6891111111115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f>175.5/0.9</f>
        <v>195</v>
      </c>
      <c r="K6" s="30">
        <f>2036.2/0.9</f>
        <v>2262.4444444444443</v>
      </c>
      <c r="L6" s="24"/>
      <c r="M6" s="31">
        <f>33/0.9</f>
        <v>36.666666666666664</v>
      </c>
      <c r="N6" s="29">
        <f>F6-G6-J6</f>
        <v>61085.71</v>
      </c>
      <c r="O6" s="32">
        <f>F6-G6-K6</f>
        <v>59018.265555555554</v>
      </c>
      <c r="P6" s="33">
        <v>0</v>
      </c>
      <c r="Q6" s="32">
        <f>N6-K6</f>
        <v>58823.265555555554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27">
        <v>289608.3333333334</v>
      </c>
      <c r="G7" s="28">
        <v>167993</v>
      </c>
      <c r="H7" s="23"/>
      <c r="I7" s="23"/>
      <c r="J7" s="29">
        <f>14533.97/0.9</f>
        <v>16148.855555555554</v>
      </c>
      <c r="K7" s="30">
        <f>12233.9/0.9</f>
        <v>13593.22222222222</v>
      </c>
      <c r="L7" s="24"/>
      <c r="M7" s="31">
        <f>6348.5/0.9</f>
        <v>7053.888888888889</v>
      </c>
      <c r="N7" s="29">
        <f>F7-G7-J7</f>
        <v>105466.47777777782</v>
      </c>
      <c r="O7" s="32">
        <f>F7-G7-K7</f>
        <v>108022.11111111115</v>
      </c>
      <c r="P7" s="33">
        <v>0</v>
      </c>
      <c r="Q7" s="32">
        <f>N7-K7</f>
        <v>91873.2555555556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6" sqref="K6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0/0.9</f>
        <v>0</v>
      </c>
      <c r="K5" s="30">
        <f>424/0.9</f>
        <v>471.1111111111111</v>
      </c>
      <c r="L5" s="24"/>
      <c r="M5" s="30">
        <f>15/0.9</f>
        <v>16.666666666666668</v>
      </c>
      <c r="N5" s="29">
        <f>F5-G5-J5</f>
        <v>2792.5555555555557</v>
      </c>
      <c r="O5" s="32">
        <f>F5-G5-K5</f>
        <v>2321.4444444444443</v>
      </c>
      <c r="P5" s="33">
        <v>0</v>
      </c>
      <c r="Q5" s="32">
        <f>N5-K5</f>
        <v>2321.4444444444443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23.5/0.9</f>
        <v>26.11111111111111</v>
      </c>
      <c r="K6" s="30">
        <f>2231.2/0.9</f>
        <v>2479.111111111111</v>
      </c>
      <c r="L6" s="24"/>
      <c r="M6" s="31">
        <f>15/0.9</f>
        <v>16.666666666666668</v>
      </c>
      <c r="N6" s="29">
        <f>F6-G6-J6</f>
        <v>62735.222222222226</v>
      </c>
      <c r="O6" s="32">
        <f>F6-G6-K6</f>
        <v>60282.222222222226</v>
      </c>
      <c r="P6" s="33">
        <v>0</v>
      </c>
      <c r="Q6" s="32">
        <f>N6-K6</f>
        <v>60256.11111111112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27">
        <f>485033/0.9</f>
        <v>538925.5555555555</v>
      </c>
      <c r="G7" s="28">
        <f>143140.4/0.9</f>
        <v>159044.88888888888</v>
      </c>
      <c r="H7" s="23"/>
      <c r="I7" s="23"/>
      <c r="J7" s="29">
        <f>2596.5/0.9</f>
        <v>2885</v>
      </c>
      <c r="K7" s="30">
        <f>(12248.9-2596.5+2884.4)/0.9</f>
        <v>13929.777777777777</v>
      </c>
      <c r="L7" s="24"/>
      <c r="M7" s="31">
        <f>8222.505/0.9</f>
        <v>9136.116666666665</v>
      </c>
      <c r="N7" s="29">
        <f>F7-G7-J7</f>
        <v>376995.6666666666</v>
      </c>
      <c r="O7" s="32">
        <f>F7-G7-K7</f>
        <v>365950.8888888889</v>
      </c>
      <c r="P7" s="33">
        <v>0</v>
      </c>
      <c r="Q7" s="32">
        <f>N7-K7</f>
        <v>363065.8888888889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90.03/0.9</f>
        <v>100.03333333333333</v>
      </c>
      <c r="K5" s="30">
        <f>583/0.9</f>
        <v>647.7777777777777</v>
      </c>
      <c r="L5" s="24"/>
      <c r="M5" s="30">
        <f>1375/0.9</f>
        <v>1527.7777777777778</v>
      </c>
      <c r="N5" s="29">
        <f>F5-G5-J5</f>
        <v>2692.5222222222224</v>
      </c>
      <c r="O5" s="32">
        <f>F5-G5-K5</f>
        <v>2144.777777777778</v>
      </c>
      <c r="P5" s="33">
        <v>0</v>
      </c>
      <c r="Q5" s="32">
        <f>N5-K5</f>
        <v>2044.7444444444445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53.5/0.9</f>
        <v>59.44444444444444</v>
      </c>
      <c r="K6" s="30">
        <f>7629.2/0.9</f>
        <v>8476.888888888889</v>
      </c>
      <c r="L6" s="24"/>
      <c r="M6" s="31">
        <f>1430/0.9</f>
        <v>1588.888888888889</v>
      </c>
      <c r="N6" s="29">
        <f>F6-G6-J6</f>
        <v>62701.88888888889</v>
      </c>
      <c r="O6" s="32">
        <f>F6-G6-K6</f>
        <v>54284.444444444445</v>
      </c>
      <c r="P6" s="33">
        <v>0</v>
      </c>
      <c r="Q6" s="32">
        <f>N6-K6</f>
        <v>54225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32">
        <f>485033/0.9</f>
        <v>538925.5555555555</v>
      </c>
      <c r="G7" s="28">
        <f>143140.4/0.9</f>
        <v>159044.88888888888</v>
      </c>
      <c r="H7" s="23"/>
      <c r="I7" s="23"/>
      <c r="J7" s="29">
        <f>(2596.5+2159)/0.9</f>
        <v>5283.888888888889</v>
      </c>
      <c r="K7" s="30">
        <f>37793.16/0.9</f>
        <v>41992.4</v>
      </c>
      <c r="L7" s="24"/>
      <c r="M7" s="31">
        <f>7856.5/0.9</f>
        <v>8729.444444444443</v>
      </c>
      <c r="N7" s="29">
        <f>F7-G7-J7</f>
        <v>374596.77777777775</v>
      </c>
      <c r="O7" s="32">
        <f>F7-G7-K7</f>
        <v>337888.2666666666</v>
      </c>
      <c r="P7" s="33">
        <v>0</v>
      </c>
      <c r="Q7" s="32">
        <f>N7-K7</f>
        <v>332604.3777777777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90/0.9</f>
        <v>100</v>
      </c>
      <c r="K5" s="30">
        <f>751.5/0.9</f>
        <v>835</v>
      </c>
      <c r="L5" s="24"/>
      <c r="M5" s="30">
        <f>1436.5/0.9</f>
        <v>1596.111111111111</v>
      </c>
      <c r="N5" s="29">
        <f>F5-G5-J5</f>
        <v>2692.5555555555557</v>
      </c>
      <c r="O5" s="32">
        <f>F5-G5-K5</f>
        <v>1957.5555555555557</v>
      </c>
      <c r="P5" s="33">
        <v>0</v>
      </c>
      <c r="Q5" s="32">
        <f>N5-K5</f>
        <v>1857.5555555555557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74.5/0.9</f>
        <v>82.77777777777777</v>
      </c>
      <c r="K6" s="30">
        <f>2689.2/0.9</f>
        <v>2987.9999999999995</v>
      </c>
      <c r="L6" s="24"/>
      <c r="M6" s="31">
        <f>1460/0.9</f>
        <v>1622.2222222222222</v>
      </c>
      <c r="N6" s="29">
        <f>F6-G6-J6</f>
        <v>62678.555555555555</v>
      </c>
      <c r="O6" s="32">
        <f>F6-G6-K6</f>
        <v>59773.333333333336</v>
      </c>
      <c r="P6" s="33">
        <v>0</v>
      </c>
      <c r="Q6" s="32">
        <f>N6-K6</f>
        <v>59690.555555555555</v>
      </c>
      <c r="R6" s="34"/>
    </row>
    <row r="7" spans="1:18" ht="76.5" customHeight="1">
      <c r="A7" s="25">
        <v>3</v>
      </c>
      <c r="B7" s="51" t="s">
        <v>24</v>
      </c>
      <c r="C7" s="52"/>
      <c r="D7" s="52"/>
      <c r="E7" s="53"/>
      <c r="F7" s="32">
        <f>485033/0.9</f>
        <v>538925.5555555555</v>
      </c>
      <c r="G7" s="28">
        <f>143140.4/0.9</f>
        <v>159044.88888888888</v>
      </c>
      <c r="H7" s="23"/>
      <c r="I7" s="23"/>
      <c r="J7" s="29">
        <f>8106.615/0.9</f>
        <v>9007.35</v>
      </c>
      <c r="K7" s="30">
        <f>38476.595/0.9</f>
        <v>42751.77222222222</v>
      </c>
      <c r="L7" s="24"/>
      <c r="M7" s="31">
        <f>8982.9/0.9</f>
        <v>9981</v>
      </c>
      <c r="N7" s="29">
        <f>F7-G7-J7</f>
        <v>370873.31666666665</v>
      </c>
      <c r="O7" s="32">
        <f>F7-G7-K7</f>
        <v>337128.8944444444</v>
      </c>
      <c r="P7" s="33">
        <v>0</v>
      </c>
      <c r="Q7" s="32">
        <f>N7-K7</f>
        <v>328121.5444444444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42" bottom="0.3937007874015748" header="0" footer="0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C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4927/0.9</f>
        <v>5474.444444444444</v>
      </c>
      <c r="H5" s="23"/>
      <c r="I5" s="23"/>
      <c r="J5" s="47">
        <f>65/0.9</f>
        <v>72.22222222222221</v>
      </c>
      <c r="K5" s="28">
        <f>754/0.9</f>
        <v>837.7777777777777</v>
      </c>
      <c r="L5" s="48"/>
      <c r="M5" s="28">
        <f>1435/0.9</f>
        <v>1594.4444444444443</v>
      </c>
      <c r="N5" s="47">
        <f>F5-G5-J5</f>
        <v>1068.3333333333335</v>
      </c>
      <c r="O5" s="32">
        <f>F5-G5-K5</f>
        <v>302.77777777777794</v>
      </c>
      <c r="P5" s="33">
        <v>0</v>
      </c>
      <c r="Q5" s="32">
        <f>N5-K5</f>
        <v>230.55555555555577</v>
      </c>
      <c r="R5" s="46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8069/0.9</f>
        <v>8965.555555555555</v>
      </c>
      <c r="H6" s="23"/>
      <c r="I6" s="23"/>
      <c r="J6" s="47">
        <f>75/0.9</f>
        <v>83.33333333333333</v>
      </c>
      <c r="K6" s="28">
        <f>6429.2/0.9</f>
        <v>7143.555555555555</v>
      </c>
      <c r="L6" s="48"/>
      <c r="M6" s="49">
        <f>1400/0.9</f>
        <v>1555.5555555555554</v>
      </c>
      <c r="N6" s="47">
        <f>F6-G6-J6</f>
        <v>57101.11111111111</v>
      </c>
      <c r="O6" s="32">
        <f>F6-G6-K6</f>
        <v>50040.88888888889</v>
      </c>
      <c r="P6" s="33">
        <v>0</v>
      </c>
      <c r="Q6" s="32">
        <f>N6-K6</f>
        <v>49957.555555555555</v>
      </c>
      <c r="R6" s="46"/>
    </row>
    <row r="7" spans="1:18" ht="76.5" customHeight="1">
      <c r="A7" s="25">
        <v>3</v>
      </c>
      <c r="B7" s="51" t="s">
        <v>24</v>
      </c>
      <c r="C7" s="52"/>
      <c r="D7" s="52"/>
      <c r="E7" s="53"/>
      <c r="F7" s="32">
        <f>485033/0.9</f>
        <v>538925.5555555555</v>
      </c>
      <c r="G7" s="28">
        <f>179096/0.9</f>
        <v>198995.55555555556</v>
      </c>
      <c r="H7" s="23"/>
      <c r="I7" s="23"/>
      <c r="J7" s="47">
        <f>1587.77/0.9</f>
        <v>1764.1888888888889</v>
      </c>
      <c r="K7" s="28">
        <f>42019.965/0.9</f>
        <v>46688.85</v>
      </c>
      <c r="L7" s="48"/>
      <c r="M7" s="49">
        <f>6975.2/0.9</f>
        <v>7750.222222222222</v>
      </c>
      <c r="N7" s="47">
        <f>F7-G7-J7</f>
        <v>338165.8111111111</v>
      </c>
      <c r="O7" s="32">
        <f>F7-G7-K7</f>
        <v>293241.14999999997</v>
      </c>
      <c r="P7" s="33">
        <v>0</v>
      </c>
      <c r="Q7" s="32">
        <f>N7-K7</f>
        <v>291476.9611111111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58" t="s">
        <v>36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5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5"/>
      <c r="B28" s="56"/>
      <c r="C28" s="1"/>
      <c r="D28" s="54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5"/>
      <c r="B29" s="56"/>
      <c r="C29" s="1"/>
      <c r="D29" s="54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5"/>
      <c r="B30" s="56"/>
      <c r="C30" s="1"/>
      <c r="D30" s="54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5"/>
      <c r="B31" s="57"/>
      <c r="C31" s="1"/>
      <c r="D31" s="54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5"/>
      <c r="B32" s="56"/>
      <c r="C32" s="1"/>
      <c r="D32" s="54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5"/>
      <c r="B33" s="56"/>
      <c r="C33" s="1"/>
      <c r="D33" s="54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5"/>
      <c r="B34" s="56"/>
      <c r="C34" s="1"/>
      <c r="D34" s="54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5"/>
      <c r="B35" s="56"/>
      <c r="C35" s="1"/>
      <c r="D35" s="54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5"/>
      <c r="B36" s="56"/>
      <c r="C36" s="1"/>
      <c r="D36" s="54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5"/>
      <c r="B37" s="56"/>
      <c r="C37" s="1"/>
      <c r="D37" s="54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5"/>
      <c r="B38" s="56"/>
      <c r="C38" s="1"/>
      <c r="D38" s="54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D34:D36"/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9:R9"/>
    <mergeCell ref="A10:R10"/>
    <mergeCell ref="A32:A33"/>
    <mergeCell ref="B32:B33"/>
    <mergeCell ref="D32:D33"/>
    <mergeCell ref="A34:A36"/>
    <mergeCell ref="B34:B36"/>
  </mergeCells>
  <printOptions horizontalCentered="1"/>
  <pageMargins left="0.35433070866141736" right="0.35433070866141736" top="0.42" bottom="0.3937007874015748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2013-03-29T06:41:39Z</cp:lastPrinted>
  <dcterms:created xsi:type="dcterms:W3CDTF">2010-09-30T07:06:40Z</dcterms:created>
  <dcterms:modified xsi:type="dcterms:W3CDTF">2013-06-28T06:28:40Z</dcterms:modified>
  <cp:category/>
  <cp:version/>
  <cp:contentType/>
  <cp:contentStatus/>
</cp:coreProperties>
</file>