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'Лист2'!$A$2:$H$861</definedName>
  </definedNames>
  <calcPr fullCalcOnLoad="1"/>
</workbook>
</file>

<file path=xl/sharedStrings.xml><?xml version="1.0" encoding="utf-8"?>
<sst xmlns="http://schemas.openxmlformats.org/spreadsheetml/2006/main" count="2349" uniqueCount="540">
  <si>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</si>
  <si>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</si>
  <si>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</si>
  <si>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</si>
  <si>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</si>
  <si>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</si>
  <si>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</si>
  <si>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</si>
  <si>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</si>
  <si>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</si>
  <si>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</si>
  <si>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</si>
  <si>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</si>
  <si>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</si>
  <si>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</si>
  <si>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</si>
  <si>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</si>
  <si>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</si>
  <si>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</si>
  <si>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</si>
  <si>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</si>
  <si>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</si>
  <si>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</si>
  <si>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</si>
  <si>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</si>
  <si>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</si>
  <si>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</si>
  <si>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</si>
  <si>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</si>
  <si>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</si>
  <si>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</si>
  <si>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</si>
  <si>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</si>
  <si>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</si>
  <si>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</si>
  <si>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</si>
  <si>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</si>
  <si>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</si>
  <si>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</si>
  <si>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</si>
  <si>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</si>
  <si>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</si>
  <si>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</si>
  <si>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</si>
  <si>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</si>
  <si>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</si>
  <si>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</si>
  <si>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</si>
  <si>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</si>
  <si>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</si>
  <si>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</si>
  <si>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</si>
  <si>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</si>
  <si>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</si>
  <si>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</si>
  <si>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</si>
  <si>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</si>
  <si>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</si>
  <si>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</si>
  <si>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</si>
  <si>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</si>
  <si>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</si>
  <si>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</si>
  <si>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</si>
  <si>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</si>
  <si>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</si>
  <si>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</si>
  <si>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</si>
  <si>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</si>
  <si>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</si>
  <si>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</si>
  <si>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</si>
  <si>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</si>
  <si>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</si>
  <si>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</si>
  <si>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</si>
  <si>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</si>
  <si>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</si>
  <si>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</si>
  <si>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</si>
  <si>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</si>
  <si>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</si>
  <si>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</si>
  <si>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</si>
  <si>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</si>
  <si>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</si>
  <si>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</si>
  <si>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</si>
  <si>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</si>
  <si>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</si>
  <si>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</si>
  <si>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</si>
  <si>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</si>
  <si>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</si>
  <si>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</si>
  <si>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</si>
  <si>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</si>
  <si>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</si>
  <si>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</si>
  <si>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</si>
  <si>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</si>
  <si>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</si>
  <si>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</si>
  <si>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</si>
  <si>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</si>
  <si>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</si>
  <si>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</si>
  <si>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</si>
  <si>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</si>
  <si>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</si>
  <si>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</si>
  <si>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</si>
  <si>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</si>
  <si>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</si>
  <si>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</si>
  <si>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</si>
  <si>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</si>
  <si>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</si>
  <si>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</si>
  <si>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</si>
  <si>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</si>
  <si>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</si>
  <si>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</si>
  <si>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</si>
  <si>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</si>
  <si>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</si>
  <si>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</si>
  <si>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</si>
  <si>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</si>
  <si>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</si>
  <si>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</si>
  <si>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</si>
  <si>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</si>
  <si>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</si>
  <si>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</si>
  <si>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</si>
  <si>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</si>
  <si>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</si>
  <si>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</si>
  <si>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</si>
  <si>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</si>
  <si>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</si>
  <si>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</si>
  <si>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</si>
  <si>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</si>
  <si>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</si>
  <si>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</si>
  <si>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</si>
  <si>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</si>
  <si>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</si>
  <si>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</si>
  <si>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</si>
  <si>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</si>
  <si>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</si>
  <si>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</si>
  <si>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</si>
  <si>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</si>
  <si>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</si>
  <si>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</si>
  <si>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</si>
  <si>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</si>
  <si>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</si>
  <si>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</si>
  <si>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</si>
  <si>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</si>
  <si>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</si>
  <si>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</si>
  <si>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</si>
  <si>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</si>
  <si>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</si>
  <si>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</si>
  <si>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</si>
  <si>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</si>
  <si>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</si>
  <si>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</si>
  <si>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</si>
  <si>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</si>
  <si>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</si>
  <si>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</si>
  <si>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</si>
  <si>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</si>
  <si>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</si>
  <si>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</si>
  <si>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</si>
  <si>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</si>
  <si>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</si>
  <si>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</si>
  <si>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</si>
  <si>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</si>
  <si>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</si>
  <si>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</si>
  <si>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</si>
  <si>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</si>
  <si>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</si>
  <si>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</si>
  <si>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</si>
  <si>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</si>
  <si>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</si>
  <si>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</si>
  <si>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</si>
  <si>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</si>
  <si>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</si>
  <si>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</si>
  <si>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</si>
  <si>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</si>
  <si>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</si>
  <si>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</si>
  <si>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</si>
  <si>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</si>
  <si>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</si>
  <si>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</si>
  <si>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</si>
  <si>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</si>
  <si>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</si>
  <si>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</si>
  <si>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</si>
  <si>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</si>
  <si>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</si>
  <si>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</si>
  <si>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</si>
  <si>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</si>
  <si>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</si>
  <si>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</si>
  <si>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</si>
  <si>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</si>
  <si>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</si>
  <si>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</si>
  <si>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</si>
  <si>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</si>
  <si>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</si>
  <si>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</si>
  <si>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</si>
  <si>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</si>
  <si>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</si>
  <si>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</si>
  <si>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</si>
  <si>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</si>
  <si>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</si>
  <si>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</si>
  <si>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</si>
  <si>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</si>
  <si>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</si>
  <si>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</si>
  <si>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</si>
  <si>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</si>
  <si>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</si>
  <si>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</si>
  <si>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</si>
  <si>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</si>
  <si>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</si>
  <si>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</si>
  <si>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</si>
  <si>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</si>
  <si>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</si>
  <si>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</si>
  <si>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</si>
  <si>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</si>
  <si>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</si>
  <si>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</si>
  <si>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</si>
  <si>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</si>
  <si>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</si>
  <si>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</si>
  <si>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</si>
  <si>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</si>
  <si>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</si>
  <si>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</si>
  <si>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</si>
  <si>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</si>
  <si>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</si>
  <si>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</si>
  <si>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</si>
  <si>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</si>
  <si>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</si>
  <si>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</si>
  <si>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</si>
  <si>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</si>
  <si>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</si>
  <si>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</si>
  <si>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</si>
  <si>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</si>
  <si>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</si>
  <si>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</si>
  <si>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</si>
  <si>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</si>
  <si>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</si>
  <si>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</si>
  <si>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</si>
  <si>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</si>
  <si>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</si>
  <si>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</si>
  <si>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</si>
  <si>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</si>
  <si>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</si>
  <si>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</si>
  <si>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</si>
  <si>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</si>
  <si>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</si>
  <si>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</si>
  <si>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</si>
  <si>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</si>
  <si>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</si>
  <si>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</si>
  <si>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</si>
  <si>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</si>
  <si>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</si>
  <si>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</si>
  <si>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</si>
  <si>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</si>
  <si>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</si>
  <si>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</si>
  <si>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</si>
  <si>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</si>
  <si>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</si>
  <si>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</si>
  <si>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</si>
  <si>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</si>
  <si>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</si>
  <si>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</si>
  <si>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</si>
  <si>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</si>
  <si>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</si>
  <si>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</si>
  <si>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</si>
  <si>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</si>
  <si>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</si>
  <si>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</si>
  <si>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</si>
  <si>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</si>
  <si>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</si>
  <si>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</si>
  <si>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</si>
  <si>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</si>
  <si>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</si>
  <si>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</si>
  <si>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</si>
  <si>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</si>
  <si>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</si>
  <si>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</si>
  <si>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</si>
  <si>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</si>
  <si>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</si>
  <si>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</si>
  <si>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</si>
  <si>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</si>
  <si>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</si>
  <si>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</si>
  <si>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</si>
  <si>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</si>
  <si>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</si>
  <si>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</si>
  <si>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</si>
  <si>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</si>
  <si>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</si>
  <si>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</si>
  <si>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</si>
  <si>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</si>
  <si>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</si>
  <si>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</si>
  <si>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</si>
  <si>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</si>
  <si>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</si>
  <si>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</si>
  <si>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</si>
  <si>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</si>
  <si>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</si>
  <si>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</si>
  <si>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</si>
  <si>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</si>
  <si>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</si>
  <si>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</si>
  <si>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</si>
  <si>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</si>
  <si>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</si>
  <si>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</si>
  <si>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</si>
  <si>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</si>
  <si>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</si>
  <si>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</si>
  <si>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</si>
  <si>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</si>
  <si>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</si>
  <si>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</si>
  <si>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</si>
  <si>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</si>
  <si>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</si>
  <si>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</si>
  <si>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</si>
  <si>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</si>
  <si>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</si>
  <si>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</si>
  <si>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</si>
  <si>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</si>
  <si>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</si>
  <si>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</si>
  <si>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</si>
  <si>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</si>
  <si>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</si>
  <si>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</si>
  <si>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</si>
  <si>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</si>
  <si>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</si>
  <si>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</si>
  <si>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</si>
  <si>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</si>
  <si>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</si>
  <si>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</si>
  <si>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</si>
  <si>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</si>
  <si>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</si>
  <si>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</si>
  <si>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</si>
  <si>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</si>
  <si>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</si>
  <si>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</si>
  <si>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</si>
  <si>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</si>
  <si>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</si>
  <si>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</si>
  <si>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</si>
  <si>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</si>
  <si>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</si>
  <si>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</si>
  <si>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</si>
  <si>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</si>
  <si>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</si>
  <si>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</si>
  <si>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</si>
  <si>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</si>
  <si>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</si>
  <si>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</si>
  <si>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</si>
  <si>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</si>
  <si>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</si>
  <si>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</si>
  <si>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</si>
  <si>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</si>
  <si>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</si>
  <si>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</si>
  <si>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</si>
  <si>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</si>
  <si>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</si>
  <si>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</si>
  <si>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</si>
  <si>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</si>
  <si>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</si>
  <si>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</si>
  <si>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</si>
  <si>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</si>
  <si>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</si>
  <si>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</si>
  <si>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</si>
  <si>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</si>
  <si>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</si>
  <si>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</si>
  <si>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</si>
  <si>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</si>
  <si>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</si>
  <si>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</si>
  <si>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</si>
  <si>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</si>
  <si>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</si>
  <si>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</si>
  <si>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</si>
  <si>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</si>
  <si>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</si>
  <si>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</si>
  <si>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</si>
  <si>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</si>
  <si>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</si>
  <si>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</si>
  <si>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</si>
  <si>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</si>
  <si>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</si>
  <si>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</si>
  <si>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</si>
  <si>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</si>
  <si>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</si>
  <si>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</si>
  <si>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</si>
  <si>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</si>
  <si>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</si>
  <si>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</si>
  <si>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</si>
  <si>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</si>
  <si>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</si>
  <si>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</si>
  <si>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</si>
  <si>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</si>
  <si>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</si>
  <si>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</si>
  <si>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</si>
  <si>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</si>
  <si>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</si>
  <si>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</si>
  <si>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демонтирована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</si>
  <si>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</si>
  <si>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</si>
  <si>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</si>
  <si>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</si>
  <si>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</si>
  <si>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</si>
  <si>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</si>
  <si>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</si>
  <si>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</si>
  <si>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</si>
  <si>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</si>
  <si>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</si>
  <si>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</si>
  <si>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</si>
  <si>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</si>
  <si>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</si>
  <si>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</si>
  <si>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</si>
  <si>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</si>
  <si>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</si>
  <si>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</si>
  <si>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</si>
  <si>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</si>
  <si>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</si>
  <si>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</si>
  <si>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</si>
  <si>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</si>
  <si>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</si>
  <si>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</si>
  <si>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</si>
  <si>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</si>
  <si>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</si>
  <si>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</si>
  <si>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</si>
  <si>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</si>
  <si>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</si>
  <si>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</si>
  <si>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</si>
  <si>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Информация о наличии объема свободной мощности до 35  кВ АО "ОРЭС-Петрозаводск" на 30.06.2021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</si>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</sst>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1"/>
  <sheetViews>
    <sheetView tabSelected="1" zoomScalePageLayoutView="0" workbookViewId="0" topLeftCell="A1">
      <selection activeCell="G214" sqref="G214"/>
    </sheetView>
  </sheetViews>
  <sheetFormatPr defaultColWidth="9.140625" defaultRowHeight="15"/>
  <cols>
    <col min="2" max="2" width="23.28125" style="0" customWidth="1"/>
    <col min="9" max="9" width="14.7109375" style="0" customWidth="1"/>
  </cols>
  <sheetData>
    <row r="1" spans="1:9" ht="45" customHeight="1">
      <c r="A1" s="37" t="s">
        <v>534</v>
      </c>
      <c r="B1" s="37"/>
      <c r="C1" s="37"/>
      <c r="D1" s="37"/>
      <c r="E1" s="37"/>
      <c r="F1" s="37"/>
      <c r="G1" s="37"/>
      <c r="H1" s="37"/>
      <c r="I1" s="37"/>
    </row>
    <row r="2" spans="1:9" ht="147.75">
      <c r="A2" s="25" t="s">
        <v>0</v>
      </c>
      <c r="B2" s="25" t="s">
        <v>517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7">
        <v>0.54</v>
      </c>
      <c r="H3" s="28">
        <f aca="true" t="shared" si="0" ref="H3:H8">0.95*(0.7-G3)*F3</f>
        <v>37.99999999999998</v>
      </c>
      <c r="I3" s="30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7">
        <v>0.47</v>
      </c>
      <c r="H4" s="28">
        <f>0.95*(0.7-G4)*F4</f>
        <v>65.55</v>
      </c>
      <c r="I4" s="30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7">
        <v>0.59</v>
      </c>
      <c r="H5" s="28">
        <f t="shared" si="0"/>
        <v>41.79999999999999</v>
      </c>
      <c r="I5" s="30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7">
        <v>0.4</v>
      </c>
      <c r="H6" s="28">
        <f t="shared" si="0"/>
        <v>89.77499999999998</v>
      </c>
      <c r="I6" s="30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7">
        <v>0.51</v>
      </c>
      <c r="H7" s="28">
        <f t="shared" si="0"/>
        <v>72.19999999999997</v>
      </c>
      <c r="I7" s="30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7">
        <v>0.53</v>
      </c>
      <c r="H8" s="28">
        <f t="shared" si="0"/>
        <v>64.59999999999997</v>
      </c>
      <c r="I8" s="30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7">
        <v>0.29</v>
      </c>
      <c r="H9" s="28">
        <f>0.95*(0.7-G9)*F9-80</f>
        <v>17.374999999999986</v>
      </c>
      <c r="I9" s="30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7">
        <v>0.44</v>
      </c>
      <c r="H10" s="28">
        <f>0.95*(0.7-G10)*F10</f>
        <v>61.749999999999986</v>
      </c>
      <c r="I10" s="30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7">
        <v>0.59</v>
      </c>
      <c r="H11" s="26">
        <f>0.95*(0.7-G11)*F11</f>
        <v>41.79999999999999</v>
      </c>
      <c r="I11" s="30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7">
        <v>0.42</v>
      </c>
      <c r="H12" s="26">
        <f>0.95*(0.7-G12)*F12-60</f>
        <v>46.39999999999998</v>
      </c>
      <c r="I12" s="30"/>
    </row>
    <row r="13" spans="1:9" ht="15">
      <c r="A13" s="26"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7">
        <v>0.5</v>
      </c>
      <c r="H13" s="26">
        <f>0.95*(0.7-G13)*F13-46</f>
        <v>29.99999999999997</v>
      </c>
      <c r="I13" s="30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7">
        <v>0.43</v>
      </c>
      <c r="H14" s="26">
        <f>0.95*(0.7-G14)*F14-70</f>
        <v>32.59999999999998</v>
      </c>
      <c r="I14" s="30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7">
        <f>0.38+153/630</f>
        <v>0.6228571428571429</v>
      </c>
      <c r="H15" s="28">
        <f>0.95*(0.7-G15)*F15</f>
        <v>46.16999999999996</v>
      </c>
      <c r="I15" s="30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7">
        <f>0.41+147/630</f>
        <v>0.6433333333333333</v>
      </c>
      <c r="H16" s="28">
        <f>0.95*(0.7-G16)*F16</f>
        <v>33.914999999999985</v>
      </c>
      <c r="I16" s="30"/>
    </row>
    <row r="17" spans="1:9" ht="15">
      <c r="A17" s="26"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7">
        <f>0.57+15/630</f>
        <v>0.5938095238095238</v>
      </c>
      <c r="H17" s="28">
        <f>0.95*(0.7-G17)*F17</f>
        <v>63.55499999999998</v>
      </c>
      <c r="I17" s="30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28">
        <f>0.95*(0.7-G18)*F18</f>
        <v>87.39999999999999</v>
      </c>
      <c r="I18" s="30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30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0.16</v>
      </c>
      <c r="H20" s="28">
        <f>0.95*(0.7-G20)*F20-100</f>
        <v>64.15999999999997</v>
      </c>
      <c r="I20" s="30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30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7">
        <f>0.36+85/400</f>
        <v>0.5725</v>
      </c>
      <c r="H22" s="28">
        <f>0.95*(0.7-G22)*F22</f>
        <v>48.449999999999974</v>
      </c>
      <c r="I22" s="30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7">
        <v>0.83</v>
      </c>
      <c r="H23" s="28">
        <v>0</v>
      </c>
      <c r="I23" s="30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7">
        <f>0.54+80/630</f>
        <v>0.666984126984127</v>
      </c>
      <c r="H24" s="28">
        <f>0.95*(0.7-G24)*F24</f>
        <v>19.75999999999996</v>
      </c>
      <c r="I24" s="30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7">
        <v>0.58</v>
      </c>
      <c r="H25" s="28">
        <f>0.95*(0.7-G25)*F25</f>
        <v>71.82</v>
      </c>
      <c r="I25" s="30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7">
        <f>0.51+120/630</f>
        <v>0.7004761904761905</v>
      </c>
      <c r="H26" s="28">
        <v>0</v>
      </c>
      <c r="I26" s="30"/>
    </row>
    <row r="27" spans="1:9" ht="15">
      <c r="A27" s="30"/>
      <c r="B27" s="30"/>
      <c r="C27" s="26"/>
      <c r="D27" s="26" t="s">
        <v>3</v>
      </c>
      <c r="E27" s="26">
        <v>2</v>
      </c>
      <c r="F27" s="26">
        <v>630</v>
      </c>
      <c r="G27" s="27">
        <f>0.27+323/630</f>
        <v>0.7826984126984127</v>
      </c>
      <c r="H27" s="28">
        <v>0</v>
      </c>
      <c r="I27" s="30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7">
        <v>0.98</v>
      </c>
      <c r="H28" s="28">
        <v>0</v>
      </c>
      <c r="I28" s="30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7">
        <f>0.55+65/630</f>
        <v>0.6531746031746032</v>
      </c>
      <c r="H29" s="28">
        <f>0.95*(0.7-G29)*F29</f>
        <v>28.024999999999967</v>
      </c>
      <c r="I29" s="30"/>
    </row>
    <row r="30" spans="1:9" ht="15">
      <c r="A30" s="26"/>
      <c r="B30" s="30"/>
      <c r="C30" s="26"/>
      <c r="D30" s="26" t="s">
        <v>3</v>
      </c>
      <c r="E30" s="26">
        <v>2</v>
      </c>
      <c r="F30" s="26">
        <v>630</v>
      </c>
      <c r="G30" s="27">
        <f>0.39+200/630</f>
        <v>0.7074603174603175</v>
      </c>
      <c r="H30" s="28">
        <v>0</v>
      </c>
      <c r="I30" s="30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7">
        <v>0.49</v>
      </c>
      <c r="H31" s="28">
        <f>0.95*(0.7-G31)*F31</f>
        <v>79.79999999999998</v>
      </c>
      <c r="I31" s="30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7">
        <v>0.46</v>
      </c>
      <c r="H32" s="28">
        <f>0.95*(0.7-G32)*F32</f>
        <v>56.99999999999998</v>
      </c>
      <c r="I32" s="30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7">
        <v>0.72</v>
      </c>
      <c r="H33" s="26">
        <v>0</v>
      </c>
      <c r="I33" s="30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7">
        <f>0.39+100/400</f>
        <v>0.64</v>
      </c>
      <c r="H34" s="28">
        <f>0.95*(0.7-G34)*F34</f>
        <v>22.799999999999976</v>
      </c>
      <c r="I34" s="30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7">
        <f>0.22+90/400</f>
        <v>0.445</v>
      </c>
      <c r="H35" s="28">
        <f>0.95*(0.7-G35)*F35</f>
        <v>96.89999999999998</v>
      </c>
      <c r="I35" s="30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7">
        <v>0.76</v>
      </c>
      <c r="H36" s="26">
        <v>0</v>
      </c>
      <c r="I36" s="30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7">
        <v>0.28</v>
      </c>
      <c r="H37" s="28">
        <f aca="true" t="shared" si="1" ref="H37:H42">0.95*(0.7-G37)*F37</f>
        <v>159.59999999999997</v>
      </c>
      <c r="I37" s="30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7">
        <v>0.45</v>
      </c>
      <c r="H38" s="28">
        <f t="shared" si="1"/>
        <v>94.99999999999997</v>
      </c>
      <c r="I38" s="30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7">
        <v>0.49</v>
      </c>
      <c r="H39" s="28">
        <f t="shared" si="1"/>
        <v>79.79999999999998</v>
      </c>
      <c r="I39" s="30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7">
        <f>0.22+100/400</f>
        <v>0.47</v>
      </c>
      <c r="H40" s="28">
        <f t="shared" si="1"/>
        <v>87.39999999999999</v>
      </c>
      <c r="I40" s="30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7">
        <f>0.52+7/400</f>
        <v>0.5375</v>
      </c>
      <c r="H41" s="28">
        <f t="shared" si="1"/>
        <v>61.74999999999999</v>
      </c>
      <c r="I41" s="30"/>
    </row>
    <row r="42" spans="1:9" ht="15">
      <c r="A42" s="30"/>
      <c r="B42" s="26" t="s">
        <v>377</v>
      </c>
      <c r="C42" s="26"/>
      <c r="D42" s="26" t="s">
        <v>6</v>
      </c>
      <c r="E42" s="26">
        <v>2</v>
      </c>
      <c r="F42" s="26">
        <v>400</v>
      </c>
      <c r="G42" s="27">
        <f>0.39+70/400</f>
        <v>0.565</v>
      </c>
      <c r="H42" s="28">
        <f t="shared" si="1"/>
        <v>51.300000000000004</v>
      </c>
      <c r="I42" s="30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7">
        <v>0.78</v>
      </c>
      <c r="H43" s="26">
        <v>0</v>
      </c>
      <c r="I43" s="30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7">
        <f>0.43+84/630</f>
        <v>0.5633333333333334</v>
      </c>
      <c r="H44" s="28">
        <f>0.95*(0.7-G44)*F44</f>
        <v>81.79499999999996</v>
      </c>
      <c r="I44" s="30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7">
        <v>0.79</v>
      </c>
      <c r="H45" s="26">
        <v>0</v>
      </c>
      <c r="I45" s="30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7">
        <f>0.68+15/400</f>
        <v>0.7175</v>
      </c>
      <c r="H46" s="28">
        <v>0</v>
      </c>
      <c r="I46" s="30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7">
        <f>0.42+145/400</f>
        <v>0.7825</v>
      </c>
      <c r="H47" s="28">
        <v>0</v>
      </c>
      <c r="I47" s="30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7">
        <f>0.42+70/250</f>
        <v>0.7</v>
      </c>
      <c r="H48" s="28">
        <v>0</v>
      </c>
      <c r="I48" s="30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7">
        <f>0.27+30/320</f>
        <v>0.36375</v>
      </c>
      <c r="H49" s="28">
        <f>0.95*(0.7-G49)*F49</f>
        <v>102.21999999999997</v>
      </c>
      <c r="I49" s="30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7">
        <v>0.54</v>
      </c>
      <c r="H50" s="28">
        <f>0.95*(0.7-G50)*F50</f>
        <v>95.75999999999995</v>
      </c>
      <c r="I50" s="30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7">
        <v>0.8</v>
      </c>
      <c r="H51" s="28">
        <v>0</v>
      </c>
      <c r="I51" s="30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7">
        <v>0.66</v>
      </c>
      <c r="H52" s="28">
        <f>0.95*(0.7-G52)*F52</f>
        <v>9.499999999999982</v>
      </c>
      <c r="I52" s="30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7">
        <v>0.75</v>
      </c>
      <c r="H53" s="26">
        <v>0</v>
      </c>
      <c r="I53" s="30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7">
        <v>0.64</v>
      </c>
      <c r="H54" s="28">
        <f>0.95*(0.7-G54)*F54</f>
        <v>14.249999999999986</v>
      </c>
      <c r="I54" s="30"/>
    </row>
    <row r="55" spans="1:9" ht="15">
      <c r="A55" s="30"/>
      <c r="B55" s="26" t="s">
        <v>377</v>
      </c>
      <c r="C55" s="26"/>
      <c r="D55" s="26" t="s">
        <v>6</v>
      </c>
      <c r="E55" s="26">
        <v>2</v>
      </c>
      <c r="F55" s="26">
        <v>200</v>
      </c>
      <c r="G55" s="27">
        <v>0.47</v>
      </c>
      <c r="H55" s="28">
        <f>0.95*(0.7-G55)*F55</f>
        <v>43.699999999999996</v>
      </c>
      <c r="I55" s="30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7">
        <v>0.81</v>
      </c>
      <c r="H56" s="26">
        <v>0</v>
      </c>
      <c r="I56" s="30"/>
    </row>
    <row r="57" spans="1:9" ht="15">
      <c r="A57" s="30"/>
      <c r="B57" s="26" t="s">
        <v>377</v>
      </c>
      <c r="C57" s="26"/>
      <c r="D57" s="26" t="s">
        <v>6</v>
      </c>
      <c r="E57" s="26">
        <v>2</v>
      </c>
      <c r="F57" s="26">
        <v>400</v>
      </c>
      <c r="G57" s="27">
        <v>0.36</v>
      </c>
      <c r="H57" s="28">
        <f>0.95*(0.7-G57)*F57</f>
        <v>129.2</v>
      </c>
      <c r="I57" s="30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7">
        <f>0.26+50/400</f>
        <v>0.385</v>
      </c>
      <c r="H58" s="28">
        <f>0.95*(0.7-G58)*F58</f>
        <v>119.69999999999999</v>
      </c>
      <c r="I58" s="30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7">
        <f>0.37+70/400</f>
        <v>0.5449999999999999</v>
      </c>
      <c r="H59" s="28">
        <f>0.95*(0.7-G59)*F59</f>
        <v>58.900000000000006</v>
      </c>
      <c r="I59" s="30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7">
        <v>0.85</v>
      </c>
      <c r="H60" s="26">
        <v>0</v>
      </c>
      <c r="I60" s="30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7">
        <v>0.87</v>
      </c>
      <c r="H61" s="26">
        <v>0</v>
      </c>
      <c r="I61" s="30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7">
        <v>0.85</v>
      </c>
      <c r="H62" s="26">
        <v>0</v>
      </c>
      <c r="I62" s="30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7">
        <f>0.35+100/630</f>
        <v>0.5087301587301587</v>
      </c>
      <c r="H63" s="28">
        <f>0.95*(0.7-G63)*F63</f>
        <v>114.47499999999998</v>
      </c>
      <c r="I63" s="30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7">
        <v>0.57</v>
      </c>
      <c r="H64" s="28">
        <f>0.95*(0.7-G64)*F64</f>
        <v>77.80499999999999</v>
      </c>
      <c r="I64" s="30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7">
        <v>0.6</v>
      </c>
      <c r="H65" s="28">
        <f>0.95*(0.7-G65)*F65</f>
        <v>29.92499999999999</v>
      </c>
      <c r="I65" s="30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7">
        <v>0.47</v>
      </c>
      <c r="H66" s="28">
        <f>0.95*(0.7-G66)*F66</f>
        <v>87.39999999999999</v>
      </c>
      <c r="I66" s="30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7">
        <f>0.61+80/400</f>
        <v>0.81</v>
      </c>
      <c r="H67" s="28">
        <v>0</v>
      </c>
      <c r="I67" s="30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7">
        <f>0.63+40/400</f>
        <v>0.73</v>
      </c>
      <c r="H68" s="28">
        <v>0</v>
      </c>
      <c r="I68" s="30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7">
        <f>0.5+100/400</f>
        <v>0.75</v>
      </c>
      <c r="H69" s="28">
        <v>0</v>
      </c>
      <c r="I69" s="30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7">
        <v>0.73</v>
      </c>
      <c r="H70" s="26">
        <v>0</v>
      </c>
      <c r="I70" s="30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7">
        <f>0.18+90/400</f>
        <v>0.405</v>
      </c>
      <c r="H71" s="28">
        <f aca="true" t="shared" si="2" ref="H71:H78">0.95*(0.7-G71)*F71</f>
        <v>112.09999999999998</v>
      </c>
      <c r="I71" s="30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7">
        <f>0.16+70/400</f>
        <v>0.33499999999999996</v>
      </c>
      <c r="H72" s="28">
        <f t="shared" si="2"/>
        <v>138.7</v>
      </c>
      <c r="I72" s="30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7">
        <f>0.5+75/630</f>
        <v>0.6190476190476191</v>
      </c>
      <c r="H73" s="28">
        <f t="shared" si="2"/>
        <v>48.44999999999996</v>
      </c>
      <c r="I73" s="30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7">
        <f>0.61</f>
        <v>0.61</v>
      </c>
      <c r="H74" s="28">
        <f t="shared" si="2"/>
        <v>53.86499999999998</v>
      </c>
      <c r="I74" s="30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7">
        <f>0.11+100/400</f>
        <v>0.36</v>
      </c>
      <c r="H75" s="28">
        <f t="shared" si="2"/>
        <v>129.2</v>
      </c>
      <c r="I75" s="30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7">
        <v>0.36</v>
      </c>
      <c r="H76" s="28">
        <f t="shared" si="2"/>
        <v>129.2</v>
      </c>
      <c r="I76" s="30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7">
        <f>0.32+90/630</f>
        <v>0.46285714285714286</v>
      </c>
      <c r="H77" s="28">
        <f t="shared" si="2"/>
        <v>141.92999999999995</v>
      </c>
      <c r="I77" s="29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7">
        <f>0.43+50/630</f>
        <v>0.5093650793650794</v>
      </c>
      <c r="H78" s="28">
        <f t="shared" si="2"/>
        <v>114.09499999999998</v>
      </c>
      <c r="I78" s="29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7">
        <v>0.82</v>
      </c>
      <c r="H79" s="26">
        <v>0</v>
      </c>
      <c r="I79" s="30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7">
        <f>0.43+30/400</f>
        <v>0.505</v>
      </c>
      <c r="H80" s="28">
        <f>0.95*(0.7-G80)*F80</f>
        <v>74.09999999999998</v>
      </c>
      <c r="I80" s="30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7">
        <f>0.3+48/400</f>
        <v>0.42</v>
      </c>
      <c r="H81" s="28">
        <f>0.95*(0.7-G81)*F81</f>
        <v>106.39999999999998</v>
      </c>
      <c r="I81" s="30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7">
        <v>0.53</v>
      </c>
      <c r="H82" s="28">
        <f>0.95*(0.7-G82)*F82</f>
        <v>64.59999999999997</v>
      </c>
      <c r="I82" s="30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7">
        <v>0.92</v>
      </c>
      <c r="H83" s="28">
        <v>0</v>
      </c>
      <c r="I83" s="30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7">
        <v>0.9</v>
      </c>
      <c r="H84" s="28">
        <v>0</v>
      </c>
      <c r="I84" s="30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7">
        <v>0.68</v>
      </c>
      <c r="H85" s="28">
        <f>0.95*(0.7-G85)*F85</f>
        <v>7.599999999999964</v>
      </c>
      <c r="I85" s="30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7">
        <v>0.68</v>
      </c>
      <c r="H86" s="28">
        <f>0.95*(0.7-G86)*F86</f>
        <v>7.599999999999964</v>
      </c>
      <c r="I86" s="30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7">
        <f>0.39+15/400</f>
        <v>0.4275</v>
      </c>
      <c r="H87" s="28">
        <f>0.95*(0.7-G87)*F87</f>
        <v>103.54999999999998</v>
      </c>
      <c r="I87" s="30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7">
        <f>0.34+50/400</f>
        <v>0.465</v>
      </c>
      <c r="H88" s="28">
        <f>0.95*(0.7-G88)*F88</f>
        <v>89.29999999999997</v>
      </c>
      <c r="I88" s="30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7">
        <v>0.97</v>
      </c>
      <c r="H89" s="28">
        <v>0</v>
      </c>
      <c r="I89" s="30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7">
        <f>0.53+100/400+15/400</f>
        <v>0.8175</v>
      </c>
      <c r="H90" s="28">
        <v>0</v>
      </c>
      <c r="I90" s="30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7">
        <f>0+150/320</f>
        <v>0.46875</v>
      </c>
      <c r="H91" s="28">
        <f aca="true" t="shared" si="3" ref="H91:H99">0.95*(0.7-G91)*F91</f>
        <v>70.29999999999998</v>
      </c>
      <c r="I91" s="30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7">
        <v>0.33</v>
      </c>
      <c r="H92" s="28">
        <f t="shared" si="3"/>
        <v>140.59999999999997</v>
      </c>
      <c r="I92" s="30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7">
        <v>0.4</v>
      </c>
      <c r="H93" s="28">
        <f t="shared" si="3"/>
        <v>113.99999999999997</v>
      </c>
      <c r="I93" s="30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7">
        <v>0.5</v>
      </c>
      <c r="H94" s="28">
        <f t="shared" si="3"/>
        <v>75.99999999999997</v>
      </c>
      <c r="I94" s="30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7">
        <v>0.65</v>
      </c>
      <c r="H95" s="28">
        <f t="shared" si="3"/>
        <v>14.249999999999979</v>
      </c>
      <c r="I95" s="30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7">
        <v>0.41</v>
      </c>
      <c r="H96" s="28">
        <f t="shared" si="3"/>
        <v>110.19999999999999</v>
      </c>
      <c r="I96" s="30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7">
        <f>0.35+50/400</f>
        <v>0.475</v>
      </c>
      <c r="H97" s="28">
        <f t="shared" si="3"/>
        <v>85.49999999999999</v>
      </c>
      <c r="I97" s="30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7">
        <v>0.62</v>
      </c>
      <c r="H98" s="28">
        <f t="shared" si="3"/>
        <v>47.879999999999974</v>
      </c>
      <c r="I98" s="30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7">
        <f>0.42+120/630</f>
        <v>0.6104761904761904</v>
      </c>
      <c r="H99" s="28">
        <f t="shared" si="3"/>
        <v>53.58000000000002</v>
      </c>
      <c r="I99" s="30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7">
        <v>0.95</v>
      </c>
      <c r="H100" s="26">
        <v>0</v>
      </c>
      <c r="I100" s="30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7">
        <f>0.62+60/400</f>
        <v>0.77</v>
      </c>
      <c r="H101" s="26">
        <v>0</v>
      </c>
      <c r="I101" s="30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7">
        <f>0.14+180/630</f>
        <v>0.4257142857142857</v>
      </c>
      <c r="H102" s="28">
        <f aca="true" t="shared" si="4" ref="H102:H109">0.95*(0.7-G102)*F102</f>
        <v>164.15999999999997</v>
      </c>
      <c r="I102" s="30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7">
        <v>0.54</v>
      </c>
      <c r="H103" s="28">
        <f t="shared" si="4"/>
        <v>95.75999999999995</v>
      </c>
      <c r="I103" s="30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7">
        <v>0.54</v>
      </c>
      <c r="H104" s="28">
        <f t="shared" si="4"/>
        <v>60.79999999999997</v>
      </c>
      <c r="I104" s="30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7">
        <v>0.64</v>
      </c>
      <c r="H105" s="28">
        <f t="shared" si="4"/>
        <v>35.90999999999996</v>
      </c>
      <c r="I105" s="30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7">
        <v>0.5</v>
      </c>
      <c r="H106" s="28">
        <f t="shared" si="4"/>
        <v>75.99999999999997</v>
      </c>
      <c r="I106" s="30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28">
        <f>0.29+70/400</f>
        <v>0.46499999999999997</v>
      </c>
      <c r="H107" s="28">
        <f t="shared" si="4"/>
        <v>89.3</v>
      </c>
      <c r="I107" s="30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28">
        <f>0.19+50/400</f>
        <v>0.315</v>
      </c>
      <c r="H108" s="28">
        <f t="shared" si="4"/>
        <v>146.29999999999998</v>
      </c>
      <c r="I108" s="30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7">
        <v>0.64</v>
      </c>
      <c r="H109" s="28">
        <f t="shared" si="4"/>
        <v>14.249999999999986</v>
      </c>
      <c r="I109" s="30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7">
        <v>0.71</v>
      </c>
      <c r="H110" s="28">
        <v>0</v>
      </c>
      <c r="I110" s="30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7">
        <v>0.9</v>
      </c>
      <c r="H111" s="28">
        <v>0</v>
      </c>
      <c r="I111" s="30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7">
        <f>0.16+50/400</f>
        <v>0.28500000000000003</v>
      </c>
      <c r="H112" s="28">
        <f>0.95*(0.7-G112)*F112</f>
        <v>157.69999999999996</v>
      </c>
      <c r="I112" s="30"/>
    </row>
    <row r="113" spans="1:9" ht="15">
      <c r="A113" s="30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7">
        <v>0.36</v>
      </c>
      <c r="H113" s="28">
        <f>0.95*(0.7-G113)*F113</f>
        <v>129.2</v>
      </c>
      <c r="I113" s="30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7">
        <v>0.52</v>
      </c>
      <c r="H114" s="28">
        <f>0.95*(0.7-G114)*F114</f>
        <v>68.39999999999998</v>
      </c>
      <c r="I114" s="30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7">
        <v>0.73</v>
      </c>
      <c r="H115" s="28">
        <v>0</v>
      </c>
      <c r="I115" s="30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7">
        <f>0.23+60/400</f>
        <v>0.38</v>
      </c>
      <c r="H116" s="28">
        <f aca="true" t="shared" si="5" ref="H116:H122">0.95*(0.7-G116)*F116</f>
        <v>121.59999999999998</v>
      </c>
      <c r="I116" s="30"/>
    </row>
    <row r="117" spans="1:9" ht="15">
      <c r="A117" s="30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7">
        <f>0.34+30/400</f>
        <v>0.41500000000000004</v>
      </c>
      <c r="H117" s="28">
        <f t="shared" si="5"/>
        <v>108.29999999999997</v>
      </c>
      <c r="I117" s="30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7">
        <f>0.42+90/630+15/630</f>
        <v>0.5866666666666667</v>
      </c>
      <c r="H118" s="28">
        <f t="shared" si="5"/>
        <v>67.82999999999997</v>
      </c>
      <c r="I118" s="30"/>
    </row>
    <row r="119" spans="1:9" ht="15">
      <c r="A119" s="30"/>
      <c r="B119" s="26" t="s">
        <v>377</v>
      </c>
      <c r="C119" s="30"/>
      <c r="D119" s="26" t="s">
        <v>3</v>
      </c>
      <c r="E119" s="26">
        <v>2</v>
      </c>
      <c r="F119" s="26">
        <v>630</v>
      </c>
      <c r="G119" s="27">
        <v>0.68</v>
      </c>
      <c r="H119" s="28">
        <f t="shared" si="5"/>
        <v>11.969999999999942</v>
      </c>
      <c r="I119" s="30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7">
        <f>0.55+30/630</f>
        <v>0.5976190476190477</v>
      </c>
      <c r="H120" s="28">
        <f t="shared" si="5"/>
        <v>61.27499999999991</v>
      </c>
      <c r="I120" s="30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7">
        <v>0.67</v>
      </c>
      <c r="H121" s="28">
        <f t="shared" si="5"/>
        <v>9.119999999999974</v>
      </c>
      <c r="I121" s="30"/>
    </row>
    <row r="122" spans="1:9" ht="15">
      <c r="A122" s="26"/>
      <c r="B122" s="26" t="s">
        <v>377</v>
      </c>
      <c r="C122" s="30"/>
      <c r="D122" s="26" t="s">
        <v>6</v>
      </c>
      <c r="E122" s="26">
        <v>1</v>
      </c>
      <c r="F122" s="26">
        <v>315</v>
      </c>
      <c r="G122" s="27">
        <f>0.37+41/315</f>
        <v>0.5001587301587301</v>
      </c>
      <c r="H122" s="28">
        <f t="shared" si="5"/>
        <v>59.802499999999995</v>
      </c>
      <c r="I122" s="30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7">
        <v>0.68</v>
      </c>
      <c r="H123" s="28">
        <v>0</v>
      </c>
      <c r="I123" s="30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7">
        <f>0.29+100/400</f>
        <v>0.54</v>
      </c>
      <c r="H124" s="28">
        <f>0.95*(0.7-G124)*F124</f>
        <v>60.79999999999997</v>
      </c>
      <c r="I124" s="30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7">
        <v>0.45</v>
      </c>
      <c r="H125" s="28">
        <f>0.95*(0.7-G125)*F125</f>
        <v>75.99999999999997</v>
      </c>
      <c r="I125" s="30"/>
    </row>
    <row r="126" spans="1:9" ht="15">
      <c r="A126" s="26"/>
      <c r="B126" s="26" t="s">
        <v>377</v>
      </c>
      <c r="C126" s="30"/>
      <c r="D126" s="26" t="s">
        <v>6</v>
      </c>
      <c r="E126" s="26">
        <v>1</v>
      </c>
      <c r="F126" s="26">
        <v>320</v>
      </c>
      <c r="G126" s="27">
        <v>0.42</v>
      </c>
      <c r="H126" s="28">
        <f>0.95*(0.7-G126)*F126</f>
        <v>85.11999999999999</v>
      </c>
      <c r="I126" s="30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7">
        <f>0.23+70/400</f>
        <v>0.405</v>
      </c>
      <c r="H127" s="28">
        <f>0.95*(0.7-G127)*F127</f>
        <v>112.09999999999998</v>
      </c>
      <c r="I127" s="30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7">
        <f>0.24+106/400</f>
        <v>0.505</v>
      </c>
      <c r="H128" s="28">
        <f>0.95*(0.7-G128)*F128</f>
        <v>74.09999999999998</v>
      </c>
      <c r="I128" s="30"/>
    </row>
    <row r="129" spans="1:9" ht="15">
      <c r="A129" s="26"/>
      <c r="B129" s="26" t="s">
        <v>377</v>
      </c>
      <c r="C129" s="30"/>
      <c r="D129" s="26" t="s">
        <v>6</v>
      </c>
      <c r="E129" s="26">
        <v>2</v>
      </c>
      <c r="F129" s="26">
        <v>400</v>
      </c>
      <c r="G129" s="27">
        <v>0.72</v>
      </c>
      <c r="H129" s="28">
        <v>0</v>
      </c>
      <c r="I129" s="30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7">
        <v>0.48</v>
      </c>
      <c r="H130" s="28">
        <f aca="true" t="shared" si="6" ref="H130:H139">0.95*(0.7-G130)*F130</f>
        <v>83.59999999999998</v>
      </c>
      <c r="I130" s="30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7">
        <f>0.3+30/400</f>
        <v>0.375</v>
      </c>
      <c r="H131" s="28">
        <f t="shared" si="6"/>
        <v>123.49999999999999</v>
      </c>
      <c r="I131" s="30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7">
        <v>0.66</v>
      </c>
      <c r="H132" s="28">
        <f t="shared" si="6"/>
        <v>23.939999999999955</v>
      </c>
      <c r="I132" s="30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7">
        <f>0.6</f>
        <v>0.6</v>
      </c>
      <c r="H133" s="28">
        <f t="shared" si="6"/>
        <v>59.84999999999998</v>
      </c>
      <c r="I133" s="30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7">
        <f>0.16+170/630</f>
        <v>0.4298412698412698</v>
      </c>
      <c r="H134" s="28">
        <f t="shared" si="6"/>
        <v>161.69</v>
      </c>
      <c r="I134" s="30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7">
        <f>0.41+50/630</f>
        <v>0.48936507936507934</v>
      </c>
      <c r="H135" s="28">
        <f t="shared" si="6"/>
        <v>126.065</v>
      </c>
      <c r="I135" s="30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7">
        <v>0.68</v>
      </c>
      <c r="H136" s="28">
        <f t="shared" si="6"/>
        <v>7.599999999999964</v>
      </c>
      <c r="I136" s="30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7">
        <v>0.61</v>
      </c>
      <c r="H137" s="28">
        <f t="shared" si="6"/>
        <v>34.19999999999999</v>
      </c>
      <c r="I137" s="30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7">
        <v>0.6</v>
      </c>
      <c r="H138" s="28">
        <f t="shared" si="6"/>
        <v>59.84999999999998</v>
      </c>
      <c r="I138" s="30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7">
        <f>0.36+70/630</f>
        <v>0.4711111111111111</v>
      </c>
      <c r="H139" s="28">
        <f t="shared" si="6"/>
        <v>136.98999999999998</v>
      </c>
      <c r="I139" s="30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7">
        <v>0.77</v>
      </c>
      <c r="H140" s="28">
        <v>0</v>
      </c>
      <c r="I140" s="30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7">
        <v>0.84</v>
      </c>
      <c r="H141" s="26">
        <v>0</v>
      </c>
      <c r="I141" s="30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7">
        <f>0.22+50/250</f>
        <v>0.42000000000000004</v>
      </c>
      <c r="H142" s="28">
        <f>0.95*(0.7-G142)*F142</f>
        <v>66.49999999999997</v>
      </c>
      <c r="I142" s="30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7">
        <f>0.38+120/630</f>
        <v>0.5704761904761905</v>
      </c>
      <c r="H143" s="28">
        <f>0.95*(0.7-G143)*F143</f>
        <v>77.51999999999997</v>
      </c>
      <c r="I143" s="30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7">
        <f>0.48+70/630</f>
        <v>0.5911111111111111</v>
      </c>
      <c r="H144" s="28">
        <f>0.95*(0.7-G144)*F144</f>
        <v>65.16999999999994</v>
      </c>
      <c r="I144" s="30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7">
        <v>0.53</v>
      </c>
      <c r="H145" s="28">
        <f>0.95*(0.7-G145)*F145</f>
        <v>64.59999999999997</v>
      </c>
      <c r="I145" s="30"/>
    </row>
    <row r="146" spans="1:9" ht="15">
      <c r="A146" s="26"/>
      <c r="B146" s="26" t="s">
        <v>377</v>
      </c>
      <c r="C146" s="30"/>
      <c r="D146" s="26" t="s">
        <v>6</v>
      </c>
      <c r="E146" s="26">
        <v>2</v>
      </c>
      <c r="F146" s="26">
        <v>315</v>
      </c>
      <c r="G146" s="27">
        <f>0.21+80/315</f>
        <v>0.4639682539682539</v>
      </c>
      <c r="H146" s="28">
        <f>0.95*(0.7-G146)*F146</f>
        <v>70.6325</v>
      </c>
      <c r="I146" s="30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7">
        <v>0.73</v>
      </c>
      <c r="H147" s="28">
        <v>0</v>
      </c>
      <c r="I147" s="30"/>
    </row>
    <row r="148" spans="1:9" ht="15">
      <c r="A148" s="26"/>
      <c r="B148" s="26" t="s">
        <v>377</v>
      </c>
      <c r="C148" s="30"/>
      <c r="D148" s="26" t="s">
        <v>6</v>
      </c>
      <c r="E148" s="26">
        <v>2</v>
      </c>
      <c r="F148" s="26">
        <v>400</v>
      </c>
      <c r="G148" s="27">
        <f>0.39+25/400</f>
        <v>0.4525</v>
      </c>
      <c r="H148" s="28">
        <f>0.95*(0.7-G148)*F148</f>
        <v>94.04999999999998</v>
      </c>
      <c r="I148" s="30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7">
        <f>0.4+165/630</f>
        <v>0.661904761904762</v>
      </c>
      <c r="H149" s="28">
        <v>0</v>
      </c>
      <c r="I149" s="30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7">
        <f>0.23+165/630</f>
        <v>0.49190476190476196</v>
      </c>
      <c r="H150" s="28">
        <f aca="true" t="shared" si="7" ref="H150:H155">0.95*(0.7-G150)*F150</f>
        <v>124.54499999999993</v>
      </c>
      <c r="I150" s="30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7">
        <f>0.08+30/250</f>
        <v>0.2</v>
      </c>
      <c r="H151" s="28">
        <f t="shared" si="7"/>
        <v>118.74999999999999</v>
      </c>
      <c r="I151" s="30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7">
        <f>0.42+30/320</f>
        <v>0.5137499999999999</v>
      </c>
      <c r="H152" s="28">
        <f t="shared" si="7"/>
        <v>56.620000000000005</v>
      </c>
      <c r="I152" s="30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250</v>
      </c>
      <c r="G153" s="27">
        <f>0.47+35/250</f>
        <v>0.61</v>
      </c>
      <c r="H153" s="28">
        <f t="shared" si="7"/>
        <v>21.374999999999993</v>
      </c>
      <c r="I153" s="29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250</v>
      </c>
      <c r="G154" s="27">
        <f>0.35+35/250+15/250</f>
        <v>0.55</v>
      </c>
      <c r="H154" s="28">
        <f t="shared" si="7"/>
        <v>35.62499999999998</v>
      </c>
      <c r="I154" s="29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7">
        <v>0.2</v>
      </c>
      <c r="H155" s="28">
        <f t="shared" si="7"/>
        <v>75.99999999999999</v>
      </c>
      <c r="I155" s="30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7">
        <v>0.77</v>
      </c>
      <c r="H156" s="26">
        <v>0</v>
      </c>
      <c r="I156" s="30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7">
        <f>0.28+100/630</f>
        <v>0.43873015873015875</v>
      </c>
      <c r="H157" s="28">
        <f>0.95*(0.7-G157)*F157</f>
        <v>156.36999999999995</v>
      </c>
      <c r="I157" s="30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7">
        <f>0.29+120/630</f>
        <v>0.48047619047619045</v>
      </c>
      <c r="H158" s="28">
        <f>0.95*(0.7-G158)*F158</f>
        <v>131.385</v>
      </c>
      <c r="I158" s="30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7">
        <f>0.25+120/630</f>
        <v>0.44047619047619047</v>
      </c>
      <c r="H159" s="28">
        <f>0.95*(0.7-G159)*F159</f>
        <v>155.325</v>
      </c>
      <c r="I159" s="30"/>
    </row>
    <row r="160" spans="1:9" ht="15">
      <c r="A160" s="26"/>
      <c r="B160" s="26" t="s">
        <v>377</v>
      </c>
      <c r="C160" s="30"/>
      <c r="D160" s="26" t="s">
        <v>3</v>
      </c>
      <c r="E160" s="26">
        <v>2</v>
      </c>
      <c r="F160" s="26">
        <v>630</v>
      </c>
      <c r="G160" s="27">
        <f>0.12+190/630</f>
        <v>0.42158730158730157</v>
      </c>
      <c r="H160" s="28">
        <f>0.95*(0.7-G160)*F160</f>
        <v>166.62999999999997</v>
      </c>
      <c r="I160" s="30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7">
        <v>0.87</v>
      </c>
      <c r="H161" s="28">
        <v>0</v>
      </c>
      <c r="I161" s="30"/>
    </row>
    <row r="162" spans="1:9" ht="15">
      <c r="A162" s="26"/>
      <c r="B162" s="26" t="s">
        <v>377</v>
      </c>
      <c r="C162" s="30"/>
      <c r="D162" s="26" t="s">
        <v>6</v>
      </c>
      <c r="E162" s="26">
        <v>2</v>
      </c>
      <c r="F162" s="26">
        <v>400</v>
      </c>
      <c r="G162" s="27">
        <f>0.03+105/400</f>
        <v>0.2925</v>
      </c>
      <c r="H162" s="28">
        <f aca="true" t="shared" si="8" ref="H162:H175">0.95*(0.7-G162)*F162</f>
        <v>154.84999999999997</v>
      </c>
      <c r="I162" s="30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7">
        <v>0.52</v>
      </c>
      <c r="H163" s="28">
        <f t="shared" si="8"/>
        <v>68.39999999999998</v>
      </c>
      <c r="I163" s="30"/>
    </row>
    <row r="164" spans="1:9" ht="15">
      <c r="A164" s="26"/>
      <c r="B164" s="26" t="s">
        <v>377</v>
      </c>
      <c r="C164" s="30"/>
      <c r="D164" s="26" t="s">
        <v>3</v>
      </c>
      <c r="E164" s="26">
        <v>2</v>
      </c>
      <c r="F164" s="26">
        <v>400</v>
      </c>
      <c r="G164" s="27">
        <f>0.42+110/400</f>
        <v>0.6950000000000001</v>
      </c>
      <c r="H164" s="28">
        <f t="shared" si="8"/>
        <v>1.8999999999999593</v>
      </c>
      <c r="I164" s="30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7">
        <f>0.31+60/400</f>
        <v>0.45999999999999996</v>
      </c>
      <c r="H165" s="28">
        <f t="shared" si="8"/>
        <v>91.19999999999999</v>
      </c>
      <c r="I165" s="30"/>
    </row>
    <row r="166" spans="1:9" ht="15">
      <c r="A166" s="30"/>
      <c r="B166" s="26" t="s">
        <v>377</v>
      </c>
      <c r="C166" s="30"/>
      <c r="D166" s="26" t="s">
        <v>6</v>
      </c>
      <c r="E166" s="26">
        <v>2</v>
      </c>
      <c r="F166" s="26">
        <v>250</v>
      </c>
      <c r="G166" s="27">
        <v>0.55</v>
      </c>
      <c r="H166" s="28">
        <f t="shared" si="8"/>
        <v>35.62499999999998</v>
      </c>
      <c r="I166" s="30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7">
        <f>0.26+150/630</f>
        <v>0.4980952380952381</v>
      </c>
      <c r="H167" s="28">
        <f t="shared" si="8"/>
        <v>120.83999999999997</v>
      </c>
      <c r="I167" s="30"/>
    </row>
    <row r="168" spans="1:9" ht="15">
      <c r="A168" s="26"/>
      <c r="B168" s="26" t="s">
        <v>377</v>
      </c>
      <c r="C168" s="30"/>
      <c r="D168" s="26" t="s">
        <v>6</v>
      </c>
      <c r="E168" s="26">
        <v>2</v>
      </c>
      <c r="F168" s="26">
        <v>400</v>
      </c>
      <c r="G168" s="27">
        <f>0.42+60/400</f>
        <v>0.57</v>
      </c>
      <c r="H168" s="28">
        <f t="shared" si="8"/>
        <v>49.4</v>
      </c>
      <c r="I168" s="30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7">
        <v>0.5</v>
      </c>
      <c r="H169" s="28">
        <f t="shared" si="8"/>
        <v>47.499999999999986</v>
      </c>
      <c r="I169" s="30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7">
        <v>0.68</v>
      </c>
      <c r="H170" s="28">
        <f t="shared" si="8"/>
        <v>7.599999999999964</v>
      </c>
      <c r="I170" s="30"/>
    </row>
    <row r="171" spans="1:9" ht="15">
      <c r="A171" s="26"/>
      <c r="B171" s="26" t="s">
        <v>377</v>
      </c>
      <c r="C171" s="30"/>
      <c r="D171" s="26" t="s">
        <v>6</v>
      </c>
      <c r="E171" s="26">
        <v>2</v>
      </c>
      <c r="F171" s="26">
        <v>400</v>
      </c>
      <c r="G171" s="27">
        <v>0.64</v>
      </c>
      <c r="H171" s="28">
        <f t="shared" si="8"/>
        <v>22.799999999999976</v>
      </c>
      <c r="I171" s="30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7">
        <f>0.42+100/630</f>
        <v>0.5787301587301588</v>
      </c>
      <c r="H172" s="28">
        <f t="shared" si="8"/>
        <v>72.57999999999996</v>
      </c>
      <c r="I172" s="30"/>
    </row>
    <row r="173" spans="1:9" ht="15">
      <c r="A173" s="26"/>
      <c r="B173" s="26" t="s">
        <v>377</v>
      </c>
      <c r="C173" s="30"/>
      <c r="D173" s="26" t="s">
        <v>6</v>
      </c>
      <c r="E173" s="26">
        <v>2</v>
      </c>
      <c r="F173" s="26">
        <v>630</v>
      </c>
      <c r="G173" s="27">
        <f>0.39+100/630</f>
        <v>0.5487301587301587</v>
      </c>
      <c r="H173" s="28">
        <f t="shared" si="8"/>
        <v>90.53499999999995</v>
      </c>
      <c r="I173" s="30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7">
        <v>0.59</v>
      </c>
      <c r="H174" s="28">
        <f t="shared" si="8"/>
        <v>16.72</v>
      </c>
      <c r="I174" s="30"/>
    </row>
    <row r="175" spans="1:9" ht="15">
      <c r="A175" s="26"/>
      <c r="B175" s="26" t="s">
        <v>377</v>
      </c>
      <c r="C175" s="30"/>
      <c r="D175" s="26" t="s">
        <v>6</v>
      </c>
      <c r="E175" s="26">
        <v>2</v>
      </c>
      <c r="F175" s="26">
        <v>160</v>
      </c>
      <c r="G175" s="27">
        <f>0.22+20/160</f>
        <v>0.345</v>
      </c>
      <c r="H175" s="28">
        <f t="shared" si="8"/>
        <v>53.96</v>
      </c>
      <c r="I175" s="30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7">
        <v>1</v>
      </c>
      <c r="H176" s="28">
        <v>0</v>
      </c>
      <c r="I176" s="30"/>
    </row>
    <row r="177" spans="1:9" ht="15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7">
        <f>0.43+40/250</f>
        <v>0.59</v>
      </c>
      <c r="H177" s="28">
        <f aca="true" t="shared" si="9" ref="H177:H183">0.95*(0.7-G177)*F177</f>
        <v>26.124999999999996</v>
      </c>
      <c r="I177" s="30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7">
        <f>0.23+170/630</f>
        <v>0.49984126984126986</v>
      </c>
      <c r="H178" s="28">
        <f t="shared" si="9"/>
        <v>119.79499999999994</v>
      </c>
      <c r="I178" s="30"/>
    </row>
    <row r="179" spans="1:9" ht="15">
      <c r="A179" s="26"/>
      <c r="B179" s="26" t="s">
        <v>377</v>
      </c>
      <c r="C179" s="30"/>
      <c r="D179" s="26" t="s">
        <v>6</v>
      </c>
      <c r="E179" s="26">
        <v>2</v>
      </c>
      <c r="F179" s="26">
        <v>630</v>
      </c>
      <c r="G179" s="27">
        <v>0.51</v>
      </c>
      <c r="H179" s="28">
        <f t="shared" si="9"/>
        <v>113.71499999999996</v>
      </c>
      <c r="I179" s="30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7">
        <v>0.4</v>
      </c>
      <c r="H180" s="28">
        <f>0.95*(0.7-G180)*F180</f>
        <v>89.77499999999998</v>
      </c>
      <c r="I180" s="30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7">
        <f>0.26+100/400</f>
        <v>0.51</v>
      </c>
      <c r="H181" s="28">
        <f t="shared" si="9"/>
        <v>72.19999999999997</v>
      </c>
      <c r="I181" s="30"/>
    </row>
    <row r="182" spans="1:9" ht="15">
      <c r="A182" s="26"/>
      <c r="B182" s="26" t="s">
        <v>377</v>
      </c>
      <c r="C182" s="30"/>
      <c r="D182" s="26" t="s">
        <v>6</v>
      </c>
      <c r="E182" s="26">
        <v>2</v>
      </c>
      <c r="F182" s="26">
        <v>400</v>
      </c>
      <c r="G182" s="27">
        <v>0.44</v>
      </c>
      <c r="H182" s="28">
        <f t="shared" si="9"/>
        <v>98.79999999999998</v>
      </c>
      <c r="I182" s="30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7">
        <f>0.47+70/630</f>
        <v>0.5811111111111111</v>
      </c>
      <c r="H183" s="28">
        <f t="shared" si="9"/>
        <v>71.15499999999996</v>
      </c>
      <c r="I183" s="30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7">
        <v>0.74</v>
      </c>
      <c r="H184" s="28">
        <v>0</v>
      </c>
      <c r="I184" s="30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7">
        <v>0.86</v>
      </c>
      <c r="H185" s="26">
        <v>0</v>
      </c>
      <c r="I185" s="30"/>
    </row>
    <row r="186" spans="1:9" ht="15">
      <c r="A186" s="26"/>
      <c r="B186" s="26" t="s">
        <v>377</v>
      </c>
      <c r="C186" s="30"/>
      <c r="D186" s="26" t="s">
        <v>6</v>
      </c>
      <c r="E186" s="26">
        <v>2</v>
      </c>
      <c r="F186" s="26">
        <v>400</v>
      </c>
      <c r="G186" s="27">
        <f>0.03+120/400</f>
        <v>0.32999999999999996</v>
      </c>
      <c r="H186" s="28">
        <f>0.95*(0.7-G186)*F186</f>
        <v>140.6</v>
      </c>
      <c r="I186" s="30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7">
        <v>0.28</v>
      </c>
      <c r="H187" s="28">
        <f>0.95*(0.7-G187)*F187</f>
        <v>159.59999999999997</v>
      </c>
      <c r="I187" s="30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7">
        <v>0.44</v>
      </c>
      <c r="H188" s="28">
        <f>0.95*(0.7-G188)*F188</f>
        <v>61.749999999999986</v>
      </c>
      <c r="I188" s="30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7">
        <v>0.9</v>
      </c>
      <c r="H189" s="28">
        <v>0</v>
      </c>
      <c r="I189" s="30"/>
    </row>
    <row r="190" spans="1:9" ht="15">
      <c r="A190" s="30"/>
      <c r="B190" s="26" t="s">
        <v>377</v>
      </c>
      <c r="C190" s="30"/>
      <c r="D190" s="26" t="s">
        <v>6</v>
      </c>
      <c r="E190" s="26">
        <v>2</v>
      </c>
      <c r="F190" s="26">
        <v>400</v>
      </c>
      <c r="G190" s="27">
        <f>0.17+120/400</f>
        <v>0.47</v>
      </c>
      <c r="H190" s="28">
        <f aca="true" t="shared" si="10" ref="H190:H207">0.95*(0.7-G190)*F190</f>
        <v>87.39999999999999</v>
      </c>
      <c r="I190" s="30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7">
        <v>0.38</v>
      </c>
      <c r="H191" s="28">
        <f t="shared" si="10"/>
        <v>121.59999999999998</v>
      </c>
      <c r="I191" s="30"/>
    </row>
    <row r="192" spans="1:9" ht="15">
      <c r="A192" s="26"/>
      <c r="B192" s="26" t="s">
        <v>377</v>
      </c>
      <c r="C192" s="30"/>
      <c r="D192" s="26" t="s">
        <v>6</v>
      </c>
      <c r="E192" s="26">
        <v>2</v>
      </c>
      <c r="F192" s="26">
        <v>400</v>
      </c>
      <c r="G192" s="27">
        <f>0.27+50/400</f>
        <v>0.395</v>
      </c>
      <c r="H192" s="28">
        <f t="shared" si="10"/>
        <v>115.89999999999998</v>
      </c>
      <c r="I192" s="30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7">
        <f>0.24+100/400</f>
        <v>0.49</v>
      </c>
      <c r="H193" s="28">
        <f t="shared" si="10"/>
        <v>79.79999999999998</v>
      </c>
      <c r="I193" s="30"/>
    </row>
    <row r="194" spans="1:9" ht="15">
      <c r="A194" s="26"/>
      <c r="B194" s="26" t="s">
        <v>377</v>
      </c>
      <c r="C194" s="30"/>
      <c r="D194" s="26" t="s">
        <v>6</v>
      </c>
      <c r="E194" s="26">
        <v>2</v>
      </c>
      <c r="F194" s="26">
        <v>400</v>
      </c>
      <c r="G194" s="27">
        <v>0.55</v>
      </c>
      <c r="H194" s="28">
        <f t="shared" si="10"/>
        <v>56.999999999999964</v>
      </c>
      <c r="I194" s="30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7">
        <v>0.62</v>
      </c>
      <c r="H195" s="28">
        <f t="shared" si="10"/>
        <v>30.399999999999984</v>
      </c>
      <c r="I195" s="30"/>
    </row>
    <row r="196" spans="1:9" ht="15">
      <c r="A196" s="26"/>
      <c r="B196" s="26" t="s">
        <v>377</v>
      </c>
      <c r="C196" s="30"/>
      <c r="D196" s="26" t="s">
        <v>6</v>
      </c>
      <c r="E196" s="26">
        <v>2</v>
      </c>
      <c r="F196" s="26">
        <v>400</v>
      </c>
      <c r="G196" s="27">
        <v>0.7</v>
      </c>
      <c r="H196" s="28">
        <f t="shared" si="10"/>
        <v>0</v>
      </c>
      <c r="I196" s="30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7">
        <v>0.14</v>
      </c>
      <c r="H197" s="28">
        <f t="shared" si="10"/>
        <v>53.19999999999999</v>
      </c>
      <c r="I197" s="30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7">
        <f>0.27+300/1000</f>
        <v>0.5700000000000001</v>
      </c>
      <c r="H198" s="28">
        <f t="shared" si="10"/>
        <v>123.49999999999989</v>
      </c>
      <c r="I198" s="30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7">
        <f>0.36+100/630</f>
        <v>0.5187301587301587</v>
      </c>
      <c r="H199" s="28">
        <f t="shared" si="10"/>
        <v>108.48999999999998</v>
      </c>
      <c r="I199" s="30"/>
    </row>
    <row r="200" spans="1:9" ht="15">
      <c r="A200" s="30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7">
        <f>0.25+100/630</f>
        <v>0.4087301587301587</v>
      </c>
      <c r="H200" s="28">
        <f t="shared" si="10"/>
        <v>174.325</v>
      </c>
      <c r="I200" s="30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7">
        <f>0.24+150/630</f>
        <v>0.4780952380952381</v>
      </c>
      <c r="H201" s="28">
        <f t="shared" si="10"/>
        <v>132.80999999999997</v>
      </c>
      <c r="I201" s="30"/>
    </row>
    <row r="202" spans="1:9" ht="15">
      <c r="A202" s="30"/>
      <c r="B202" s="26" t="s">
        <v>377</v>
      </c>
      <c r="C202" s="30"/>
      <c r="D202" s="26" t="s">
        <v>6</v>
      </c>
      <c r="E202" s="26">
        <v>2</v>
      </c>
      <c r="F202" s="26">
        <v>630</v>
      </c>
      <c r="G202" s="27">
        <f>0.2+170/630</f>
        <v>0.46984126984126984</v>
      </c>
      <c r="H202" s="28">
        <f t="shared" si="10"/>
        <v>137.74999999999997</v>
      </c>
      <c r="I202" s="30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7">
        <f>0.34+50/400</f>
        <v>0.465</v>
      </c>
      <c r="H203" s="28">
        <f t="shared" si="10"/>
        <v>89.29999999999997</v>
      </c>
      <c r="I203" s="30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7">
        <v>0.63</v>
      </c>
      <c r="H204" s="28">
        <f t="shared" si="10"/>
        <v>26.59999999999998</v>
      </c>
      <c r="I204" s="30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7">
        <v>0.57</v>
      </c>
      <c r="H205" s="28">
        <f t="shared" si="10"/>
        <v>49.4</v>
      </c>
      <c r="I205" s="30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7">
        <v>0.55</v>
      </c>
      <c r="H206" s="28">
        <f t="shared" si="10"/>
        <v>45.599999999999966</v>
      </c>
      <c r="I206" s="30"/>
    </row>
    <row r="207" spans="1:9" ht="15">
      <c r="A207" s="30"/>
      <c r="B207" s="26" t="s">
        <v>377</v>
      </c>
      <c r="C207" s="30"/>
      <c r="D207" s="26" t="s">
        <v>6</v>
      </c>
      <c r="E207" s="26">
        <v>2</v>
      </c>
      <c r="F207" s="26">
        <v>400</v>
      </c>
      <c r="G207" s="27">
        <f>0.34+70/400</f>
        <v>0.515</v>
      </c>
      <c r="H207" s="28">
        <f t="shared" si="10"/>
        <v>70.29999999999997</v>
      </c>
      <c r="I207" s="30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7">
        <v>0.41</v>
      </c>
      <c r="H208" s="28">
        <f aca="true" t="shared" si="11" ref="H208:H215">0.95*(0.7-G208)*F208</f>
        <v>110.19999999999999</v>
      </c>
      <c r="I208" s="30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7">
        <v>0.57</v>
      </c>
      <c r="H209" s="28">
        <f t="shared" si="11"/>
        <v>49.4</v>
      </c>
      <c r="I209" s="30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7">
        <f>0.43+50/400</f>
        <v>0.5549999999999999</v>
      </c>
      <c r="H210" s="28">
        <f t="shared" si="11"/>
        <v>55.1</v>
      </c>
      <c r="I210" s="30"/>
    </row>
    <row r="211" spans="1:9" ht="15">
      <c r="A211" s="30"/>
      <c r="B211" s="26" t="s">
        <v>377</v>
      </c>
      <c r="C211" s="30"/>
      <c r="D211" s="26" t="s">
        <v>3</v>
      </c>
      <c r="E211" s="26">
        <v>2</v>
      </c>
      <c r="F211" s="26">
        <v>400</v>
      </c>
      <c r="G211" s="27">
        <f>0.29+120/400</f>
        <v>0.59</v>
      </c>
      <c r="H211" s="28">
        <f t="shared" si="11"/>
        <v>41.79999999999999</v>
      </c>
      <c r="I211" s="30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7">
        <f>0.27+50/400</f>
        <v>0.395</v>
      </c>
      <c r="H212" s="28">
        <f t="shared" si="11"/>
        <v>115.89999999999998</v>
      </c>
      <c r="I212" s="30"/>
    </row>
    <row r="213" spans="1:9" ht="15">
      <c r="A213" s="30"/>
      <c r="B213" s="26" t="s">
        <v>377</v>
      </c>
      <c r="C213" s="30"/>
      <c r="D213" s="26" t="s">
        <v>3</v>
      </c>
      <c r="E213" s="26">
        <v>2</v>
      </c>
      <c r="F213" s="26">
        <v>400</v>
      </c>
      <c r="G213" s="27">
        <v>0.56</v>
      </c>
      <c r="H213" s="28">
        <f t="shared" si="11"/>
        <v>53.19999999999996</v>
      </c>
      <c r="I213" s="30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7">
        <f>0.48+80/630+30/630</f>
        <v>0.6546031746031746</v>
      </c>
      <c r="H214" s="28">
        <f t="shared" si="11"/>
        <v>27.169999999999956</v>
      </c>
      <c r="I214" s="30"/>
    </row>
    <row r="215" spans="1:9" ht="15">
      <c r="A215" s="30"/>
      <c r="B215" s="26" t="s">
        <v>377</v>
      </c>
      <c r="C215" s="30"/>
      <c r="D215" s="26" t="s">
        <v>6</v>
      </c>
      <c r="E215" s="26">
        <v>2</v>
      </c>
      <c r="F215" s="26">
        <v>400</v>
      </c>
      <c r="G215" s="27">
        <f>0.4+30/400</f>
        <v>0.47500000000000003</v>
      </c>
      <c r="H215" s="28">
        <f t="shared" si="11"/>
        <v>85.49999999999997</v>
      </c>
      <c r="I215" s="30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7">
        <v>0.85</v>
      </c>
      <c r="H216" s="28">
        <v>0</v>
      </c>
      <c r="I216" s="30"/>
    </row>
    <row r="217" spans="1:9" ht="15">
      <c r="A217" s="26"/>
      <c r="B217" s="26" t="s">
        <v>377</v>
      </c>
      <c r="C217" s="30"/>
      <c r="D217" s="26" t="s">
        <v>3</v>
      </c>
      <c r="E217" s="26">
        <v>2</v>
      </c>
      <c r="F217" s="26">
        <v>400</v>
      </c>
      <c r="G217" s="27">
        <f>0.57+12/400+50/400</f>
        <v>0.725</v>
      </c>
      <c r="H217" s="28">
        <v>0</v>
      </c>
      <c r="I217" s="30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7">
        <v>0.99</v>
      </c>
      <c r="H218" s="28">
        <v>0</v>
      </c>
      <c r="I218" s="30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7">
        <f>0.41+100/630</f>
        <v>0.5687301587301588</v>
      </c>
      <c r="H219" s="28">
        <f aca="true" t="shared" si="12" ref="H219:H229">0.95*(0.7-G219)*F219</f>
        <v>78.56499999999996</v>
      </c>
      <c r="I219" s="30"/>
    </row>
    <row r="220" spans="1:9" ht="15">
      <c r="A220" s="26"/>
      <c r="B220" s="26" t="s">
        <v>377</v>
      </c>
      <c r="C220" s="30"/>
      <c r="D220" s="26" t="s">
        <v>6</v>
      </c>
      <c r="E220" s="26">
        <v>2</v>
      </c>
      <c r="F220" s="26">
        <v>400</v>
      </c>
      <c r="G220" s="27">
        <f>0.35+100/400</f>
        <v>0.6</v>
      </c>
      <c r="H220" s="28">
        <f t="shared" si="12"/>
        <v>37.999999999999986</v>
      </c>
      <c r="I220" s="30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7">
        <f>0.3+50/400+14.4/400</f>
        <v>0.46099999999999997</v>
      </c>
      <c r="H221" s="28">
        <f t="shared" si="12"/>
        <v>90.82</v>
      </c>
      <c r="I221" s="30"/>
    </row>
    <row r="222" spans="1:9" ht="15">
      <c r="A222" s="26"/>
      <c r="B222" s="26" t="s">
        <v>377</v>
      </c>
      <c r="C222" s="30"/>
      <c r="D222" s="26" t="s">
        <v>6</v>
      </c>
      <c r="E222" s="26">
        <v>2</v>
      </c>
      <c r="F222" s="26">
        <v>400</v>
      </c>
      <c r="G222" s="27">
        <f>0.42+40/400</f>
        <v>0.52</v>
      </c>
      <c r="H222" s="28">
        <f t="shared" si="12"/>
        <v>68.39999999999998</v>
      </c>
      <c r="I222" s="30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7">
        <f>0.54+30/630</f>
        <v>0.5876190476190477</v>
      </c>
      <c r="H223" s="28">
        <f t="shared" si="12"/>
        <v>67.25999999999992</v>
      </c>
      <c r="I223" s="30"/>
    </row>
    <row r="224" spans="1:9" ht="15">
      <c r="A224" s="26"/>
      <c r="B224" s="26" t="s">
        <v>377</v>
      </c>
      <c r="C224" s="30"/>
      <c r="D224" s="26" t="s">
        <v>6</v>
      </c>
      <c r="E224" s="26">
        <v>2</v>
      </c>
      <c r="F224" s="26">
        <v>630</v>
      </c>
      <c r="G224" s="27">
        <v>0.55</v>
      </c>
      <c r="H224" s="28">
        <f t="shared" si="12"/>
        <v>89.77499999999993</v>
      </c>
      <c r="I224" s="30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7">
        <v>0.65</v>
      </c>
      <c r="H225" s="28">
        <f t="shared" si="12"/>
        <v>18.99999999999997</v>
      </c>
      <c r="I225" s="30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7">
        <f>0.34+70/400</f>
        <v>0.515</v>
      </c>
      <c r="H226" s="28">
        <f t="shared" si="12"/>
        <v>70.29999999999997</v>
      </c>
      <c r="I226" s="30"/>
    </row>
    <row r="227" spans="1:9" ht="15">
      <c r="A227" s="26"/>
      <c r="B227" s="26" t="s">
        <v>377</v>
      </c>
      <c r="C227" s="30"/>
      <c r="D227" s="26" t="s">
        <v>6</v>
      </c>
      <c r="E227" s="26">
        <v>2</v>
      </c>
      <c r="F227" s="26">
        <v>400</v>
      </c>
      <c r="G227" s="27">
        <v>0.5</v>
      </c>
      <c r="H227" s="28">
        <f t="shared" si="12"/>
        <v>75.99999999999997</v>
      </c>
      <c r="I227" s="30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7">
        <v>0.64</v>
      </c>
      <c r="H228" s="28">
        <f t="shared" si="12"/>
        <v>35.90999999999996</v>
      </c>
      <c r="I228" s="30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7">
        <f>0.48+30/400</f>
        <v>0.5549999999999999</v>
      </c>
      <c r="H229" s="28">
        <f t="shared" si="12"/>
        <v>55.1</v>
      </c>
      <c r="I229" s="30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7">
        <v>0.86</v>
      </c>
      <c r="H230" s="28">
        <v>0</v>
      </c>
      <c r="I230" s="30"/>
    </row>
    <row r="231" spans="1:9" ht="15">
      <c r="A231" s="26"/>
      <c r="B231" s="26" t="s">
        <v>377</v>
      </c>
      <c r="C231" s="30"/>
      <c r="D231" s="26" t="s">
        <v>3</v>
      </c>
      <c r="E231" s="26">
        <v>2</v>
      </c>
      <c r="F231" s="26">
        <v>630</v>
      </c>
      <c r="G231" s="27">
        <f>0.57+30/630+12/630</f>
        <v>0.6366666666666666</v>
      </c>
      <c r="H231" s="28">
        <f>0.95*(0.7-G231)*F231</f>
        <v>37.90500000000001</v>
      </c>
      <c r="I231" s="30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7">
        <v>0.7</v>
      </c>
      <c r="H232" s="28">
        <f>0.95*(0.7-G232)*F232</f>
        <v>0</v>
      </c>
      <c r="I232" s="32" t="s">
        <v>518</v>
      </c>
    </row>
    <row r="233" spans="1:9" ht="15">
      <c r="A233" s="26"/>
      <c r="B233" s="26" t="s">
        <v>377</v>
      </c>
      <c r="C233" s="30"/>
      <c r="D233" s="26" t="s">
        <v>3</v>
      </c>
      <c r="E233" s="26">
        <v>2</v>
      </c>
      <c r="F233" s="26">
        <v>400</v>
      </c>
      <c r="G233" s="27">
        <v>0.7</v>
      </c>
      <c r="H233" s="28">
        <f>0.95*(0.7-G233)*F233</f>
        <v>0</v>
      </c>
      <c r="I233" s="33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7">
        <v>0.54</v>
      </c>
      <c r="H234" s="28">
        <f>0.95*(0.7-G234)*F234</f>
        <v>60.79999999999997</v>
      </c>
      <c r="I234" s="30"/>
    </row>
    <row r="235" spans="1:9" ht="15">
      <c r="A235" s="30"/>
      <c r="B235" s="26" t="s">
        <v>377</v>
      </c>
      <c r="C235" s="30"/>
      <c r="D235" s="26" t="s">
        <v>6</v>
      </c>
      <c r="E235" s="26">
        <v>2</v>
      </c>
      <c r="F235" s="26">
        <v>400</v>
      </c>
      <c r="G235" s="27">
        <v>0.89</v>
      </c>
      <c r="H235" s="28">
        <v>0</v>
      </c>
      <c r="I235" s="30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7">
        <v>0.79</v>
      </c>
      <c r="H236" s="26">
        <v>0</v>
      </c>
      <c r="I236" s="30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7">
        <f>0.3+100/630</f>
        <v>0.4587301587301587</v>
      </c>
      <c r="H237" s="28">
        <f>0.95*(0.7-G237)*F237</f>
        <v>144.39999999999998</v>
      </c>
      <c r="I237" s="30"/>
    </row>
    <row r="238" spans="1:9" ht="15">
      <c r="A238" s="26"/>
      <c r="B238" s="26" t="s">
        <v>377</v>
      </c>
      <c r="C238" s="30"/>
      <c r="D238" s="26" t="s">
        <v>6</v>
      </c>
      <c r="E238" s="26">
        <v>2</v>
      </c>
      <c r="F238" s="26">
        <v>400</v>
      </c>
      <c r="G238" s="27">
        <v>0.69</v>
      </c>
      <c r="H238" s="28">
        <f>0.95*(0.7-G238)*F238</f>
        <v>3.8000000000000034</v>
      </c>
      <c r="I238" s="30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7">
        <v>0.71</v>
      </c>
      <c r="H239" s="26">
        <v>0</v>
      </c>
      <c r="I239" s="30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7">
        <v>0.94</v>
      </c>
      <c r="H240" s="28">
        <v>0</v>
      </c>
      <c r="I240" s="30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7">
        <f>0.45+70/400</f>
        <v>0.625</v>
      </c>
      <c r="H241" s="28">
        <f aca="true" t="shared" si="13" ref="H241:H246">0.95*(0.7-G241)*F241</f>
        <v>28.499999999999982</v>
      </c>
      <c r="I241" s="30"/>
    </row>
    <row r="242" spans="1:9" ht="15">
      <c r="A242" s="26"/>
      <c r="B242" s="26" t="s">
        <v>377</v>
      </c>
      <c r="C242" s="30"/>
      <c r="D242" s="26" t="s">
        <v>3</v>
      </c>
      <c r="E242" s="26">
        <v>2</v>
      </c>
      <c r="F242" s="26">
        <v>400</v>
      </c>
      <c r="G242" s="27">
        <f>0.46+70/400</f>
        <v>0.635</v>
      </c>
      <c r="H242" s="28">
        <f t="shared" si="13"/>
        <v>24.699999999999978</v>
      </c>
      <c r="I242" s="30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7">
        <v>0.45</v>
      </c>
      <c r="H243" s="28">
        <f>0.95*(0.7-G243)*F243</f>
        <v>149.62499999999997</v>
      </c>
      <c r="I243" s="30"/>
    </row>
    <row r="244" spans="1:9" ht="15">
      <c r="A244" s="26"/>
      <c r="B244" s="26" t="s">
        <v>377</v>
      </c>
      <c r="C244" s="30"/>
      <c r="D244" s="26" t="s">
        <v>3</v>
      </c>
      <c r="E244" s="26">
        <v>2</v>
      </c>
      <c r="F244" s="26">
        <v>630</v>
      </c>
      <c r="G244" s="27">
        <f>0.23+140/630</f>
        <v>0.4522222222222222</v>
      </c>
      <c r="H244" s="28">
        <f>0.95*(0.7-G244)*F244</f>
        <v>148.295</v>
      </c>
      <c r="I244" s="30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7">
        <f>0.36+70/630+65/630</f>
        <v>0.5742857142857143</v>
      </c>
      <c r="H245" s="28">
        <f t="shared" si="13"/>
        <v>75.23999999999997</v>
      </c>
      <c r="I245" s="30"/>
    </row>
    <row r="246" spans="1:9" ht="15">
      <c r="A246" s="30"/>
      <c r="B246" s="26" t="s">
        <v>377</v>
      </c>
      <c r="C246" s="30"/>
      <c r="D246" s="26" t="s">
        <v>6</v>
      </c>
      <c r="E246" s="26">
        <v>2</v>
      </c>
      <c r="F246" s="26">
        <v>630</v>
      </c>
      <c r="G246" s="27">
        <f>0.23+130/630+65/630</f>
        <v>0.5395238095238095</v>
      </c>
      <c r="H246" s="28">
        <f t="shared" si="13"/>
        <v>96.04499999999999</v>
      </c>
      <c r="I246" s="30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7">
        <v>0.71</v>
      </c>
      <c r="H247" s="26">
        <v>0</v>
      </c>
      <c r="I247" s="30"/>
    </row>
    <row r="248" spans="1:9" ht="15">
      <c r="A248" s="26"/>
      <c r="B248" s="26" t="s">
        <v>377</v>
      </c>
      <c r="C248" s="30"/>
      <c r="D248" s="26" t="s">
        <v>6</v>
      </c>
      <c r="E248" s="26">
        <v>2</v>
      </c>
      <c r="F248" s="26">
        <v>400</v>
      </c>
      <c r="G248" s="27">
        <v>0.45</v>
      </c>
      <c r="H248" s="28">
        <f>0.95*(0.7-G248)*F248</f>
        <v>94.99999999999997</v>
      </c>
      <c r="I248" s="30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7">
        <v>0.14</v>
      </c>
      <c r="H249" s="28">
        <f>0.95*(0.7-G249)*F249</f>
        <v>53.19999999999999</v>
      </c>
      <c r="I249" s="30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7">
        <v>0.72</v>
      </c>
      <c r="H250" s="28">
        <v>0</v>
      </c>
      <c r="I250" s="30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7">
        <v>0.64</v>
      </c>
      <c r="H251" s="28">
        <f aca="true" t="shared" si="14" ref="H251:H256">0.95*(0.7-G251)*F251</f>
        <v>35.90999999999996</v>
      </c>
      <c r="I251" s="30"/>
    </row>
    <row r="252" spans="1:9" ht="15">
      <c r="A252" s="26"/>
      <c r="B252" s="26" t="s">
        <v>377</v>
      </c>
      <c r="C252" s="30"/>
      <c r="D252" s="26" t="s">
        <v>6</v>
      </c>
      <c r="E252" s="26">
        <v>2</v>
      </c>
      <c r="F252" s="26">
        <v>630</v>
      </c>
      <c r="G252" s="27">
        <f>0.47+70/630</f>
        <v>0.5811111111111111</v>
      </c>
      <c r="H252" s="28">
        <f t="shared" si="14"/>
        <v>71.15499999999996</v>
      </c>
      <c r="I252" s="30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7">
        <v>0.47</v>
      </c>
      <c r="H253" s="28">
        <f t="shared" si="14"/>
        <v>87.39999999999999</v>
      </c>
      <c r="I253" s="30"/>
    </row>
    <row r="254" spans="1:9" ht="15">
      <c r="A254" s="30"/>
      <c r="B254" s="26" t="s">
        <v>377</v>
      </c>
      <c r="C254" s="30"/>
      <c r="D254" s="26" t="s">
        <v>6</v>
      </c>
      <c r="E254" s="26">
        <v>2</v>
      </c>
      <c r="F254" s="26">
        <v>400</v>
      </c>
      <c r="G254" s="27">
        <f>0.27+80/400</f>
        <v>0.47000000000000003</v>
      </c>
      <c r="H254" s="28">
        <f t="shared" si="14"/>
        <v>87.39999999999996</v>
      </c>
      <c r="I254" s="30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7">
        <f>0.35+130/630+12/630</f>
        <v>0.5753968253968255</v>
      </c>
      <c r="H255" s="28">
        <f t="shared" si="14"/>
        <v>74.57499999999993</v>
      </c>
      <c r="I255" s="30"/>
    </row>
    <row r="256" spans="1:9" ht="15">
      <c r="A256" s="30"/>
      <c r="B256" s="26" t="s">
        <v>377</v>
      </c>
      <c r="C256" s="30"/>
      <c r="D256" s="26" t="s">
        <v>3</v>
      </c>
      <c r="E256" s="26">
        <v>2</v>
      </c>
      <c r="F256" s="26">
        <v>630</v>
      </c>
      <c r="G256" s="27">
        <f>0.44+120/630</f>
        <v>0.6304761904761904</v>
      </c>
      <c r="H256" s="28">
        <f t="shared" si="14"/>
        <v>41.61000000000001</v>
      </c>
      <c r="I256" s="30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7">
        <v>0.83</v>
      </c>
      <c r="H257" s="26">
        <v>0</v>
      </c>
      <c r="I257" s="30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7">
        <f>0.41+150/630</f>
        <v>0.6480952380952381</v>
      </c>
      <c r="H258" s="28">
        <f>0.95*(0.7-G258)*F258</f>
        <v>31.064999999999998</v>
      </c>
      <c r="I258" s="30"/>
    </row>
    <row r="259" spans="1:9" ht="15">
      <c r="A259" s="26"/>
      <c r="B259" s="26" t="s">
        <v>377</v>
      </c>
      <c r="C259" s="30"/>
      <c r="D259" s="26" t="s">
        <v>3</v>
      </c>
      <c r="E259" s="26">
        <v>2</v>
      </c>
      <c r="F259" s="26">
        <v>630</v>
      </c>
      <c r="G259" s="27">
        <f>0.34+200/630</f>
        <v>0.6574603174603175</v>
      </c>
      <c r="H259" s="28">
        <f>0.95*(0.7-G259)*F259</f>
        <v>25.459999999999937</v>
      </c>
      <c r="I259" s="30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7">
        <f>0.35+100/630</f>
        <v>0.5087301587301587</v>
      </c>
      <c r="H260" s="28">
        <f>0.95*(0.7-G260)*F260</f>
        <v>114.47499999999998</v>
      </c>
      <c r="I260" s="30"/>
    </row>
    <row r="261" spans="1:9" ht="15">
      <c r="A261" s="26"/>
      <c r="B261" s="26" t="s">
        <v>377</v>
      </c>
      <c r="C261" s="30"/>
      <c r="D261" s="26" t="s">
        <v>3</v>
      </c>
      <c r="E261" s="26">
        <v>2</v>
      </c>
      <c r="F261" s="26">
        <v>630</v>
      </c>
      <c r="G261" s="27">
        <f>0.4+100/630</f>
        <v>0.5587301587301587</v>
      </c>
      <c r="H261" s="28">
        <f>0.95*(0.7-G261)*F261</f>
        <v>84.54999999999995</v>
      </c>
      <c r="I261" s="30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7">
        <v>0.9</v>
      </c>
      <c r="H262" s="26">
        <v>0</v>
      </c>
      <c r="I262" s="30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7">
        <f>0.36+60/400</f>
        <v>0.51</v>
      </c>
      <c r="H263" s="28">
        <f aca="true" t="shared" si="15" ref="H263:H272">0.95*(0.7-G263)*F263</f>
        <v>72.19999999999997</v>
      </c>
      <c r="I263" s="30"/>
    </row>
    <row r="264" spans="1:9" ht="15">
      <c r="A264" s="30"/>
      <c r="B264" s="26" t="s">
        <v>377</v>
      </c>
      <c r="C264" s="30"/>
      <c r="D264" s="26" t="s">
        <v>3</v>
      </c>
      <c r="E264" s="26">
        <v>2</v>
      </c>
      <c r="F264" s="26">
        <v>400</v>
      </c>
      <c r="G264" s="27">
        <v>0.67</v>
      </c>
      <c r="H264" s="28">
        <f t="shared" si="15"/>
        <v>11.399999999999967</v>
      </c>
      <c r="I264" s="30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7">
        <f>0.12+95/400</f>
        <v>0.3575</v>
      </c>
      <c r="H265" s="28">
        <f t="shared" si="15"/>
        <v>130.14999999999998</v>
      </c>
      <c r="I265" s="30"/>
    </row>
    <row r="266" spans="1:9" ht="15">
      <c r="A266" s="30"/>
      <c r="B266" s="26" t="s">
        <v>377</v>
      </c>
      <c r="C266" s="30"/>
      <c r="D266" s="26" t="s">
        <v>6</v>
      </c>
      <c r="E266" s="26">
        <v>2</v>
      </c>
      <c r="F266" s="26">
        <v>400</v>
      </c>
      <c r="G266" s="27">
        <f>0.23+70/400</f>
        <v>0.405</v>
      </c>
      <c r="H266" s="28">
        <f t="shared" si="15"/>
        <v>112.09999999999998</v>
      </c>
      <c r="I266" s="30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7">
        <v>0.35</v>
      </c>
      <c r="H267" s="28">
        <f t="shared" si="15"/>
        <v>83.12499999999999</v>
      </c>
      <c r="I267" s="32" t="s">
        <v>518</v>
      </c>
    </row>
    <row r="268" spans="1:9" ht="15">
      <c r="A268" s="30"/>
      <c r="B268" s="26" t="s">
        <v>377</v>
      </c>
      <c r="C268" s="30"/>
      <c r="D268" s="26" t="s">
        <v>6</v>
      </c>
      <c r="E268" s="26">
        <v>2</v>
      </c>
      <c r="F268" s="26">
        <v>250</v>
      </c>
      <c r="G268" s="27">
        <v>0.62</v>
      </c>
      <c r="H268" s="28">
        <f t="shared" si="15"/>
        <v>18.99999999999999</v>
      </c>
      <c r="I268" s="33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7">
        <f>0.53+40/630</f>
        <v>0.5934920634920635</v>
      </c>
      <c r="H269" s="28">
        <f t="shared" si="15"/>
        <v>63.744999999999955</v>
      </c>
      <c r="I269" s="30"/>
    </row>
    <row r="270" spans="1:9" ht="15">
      <c r="A270" s="26"/>
      <c r="B270" s="26" t="s">
        <v>377</v>
      </c>
      <c r="C270" s="30"/>
      <c r="D270" s="26" t="s">
        <v>6</v>
      </c>
      <c r="E270" s="26">
        <v>2</v>
      </c>
      <c r="F270" s="26">
        <v>630</v>
      </c>
      <c r="G270" s="27">
        <v>0.66</v>
      </c>
      <c r="H270" s="28">
        <f t="shared" si="15"/>
        <v>23.939999999999955</v>
      </c>
      <c r="I270" s="30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7">
        <f>350/630</f>
        <v>0.5555555555555556</v>
      </c>
      <c r="H271" s="28">
        <f t="shared" si="15"/>
        <v>86.44999999999996</v>
      </c>
      <c r="I271" s="30"/>
    </row>
    <row r="272" spans="1:9" ht="15">
      <c r="A272" s="26"/>
      <c r="B272" s="26" t="s">
        <v>377</v>
      </c>
      <c r="C272" s="30"/>
      <c r="D272" s="26" t="s">
        <v>6</v>
      </c>
      <c r="E272" s="26">
        <v>2</v>
      </c>
      <c r="F272" s="26">
        <v>630</v>
      </c>
      <c r="G272" s="27">
        <f>0.41+100/630</f>
        <v>0.5687301587301588</v>
      </c>
      <c r="H272" s="28">
        <f t="shared" si="15"/>
        <v>78.56499999999996</v>
      </c>
      <c r="I272" s="30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7">
        <v>0.9</v>
      </c>
      <c r="H273" s="28">
        <v>0</v>
      </c>
      <c r="I273" s="30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7">
        <v>0.74</v>
      </c>
      <c r="H274" s="26">
        <v>0</v>
      </c>
      <c r="I274" s="30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7">
        <v>0.62</v>
      </c>
      <c r="H275" s="28">
        <f aca="true" t="shared" si="16" ref="H275:H295">0.95*(0.7-G275)*F275</f>
        <v>18.99999999999999</v>
      </c>
      <c r="I275" s="30"/>
    </row>
    <row r="276" spans="1:9" ht="15">
      <c r="A276" s="26"/>
      <c r="B276" s="26" t="s">
        <v>377</v>
      </c>
      <c r="C276" s="30"/>
      <c r="D276" s="26" t="s">
        <v>3</v>
      </c>
      <c r="E276" s="26">
        <v>2</v>
      </c>
      <c r="F276" s="26">
        <v>250</v>
      </c>
      <c r="G276" s="27">
        <f>0.19+30/250</f>
        <v>0.31</v>
      </c>
      <c r="H276" s="28">
        <f t="shared" si="16"/>
        <v>92.62499999999999</v>
      </c>
      <c r="I276" s="30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7">
        <f>0.24+50/400</f>
        <v>0.365</v>
      </c>
      <c r="H277" s="28">
        <f t="shared" si="16"/>
        <v>127.3</v>
      </c>
      <c r="I277" s="29"/>
    </row>
    <row r="278" spans="1:9" ht="15">
      <c r="A278" s="29"/>
      <c r="B278" s="26" t="s">
        <v>377</v>
      </c>
      <c r="C278" s="29"/>
      <c r="D278" s="26" t="s">
        <v>3</v>
      </c>
      <c r="E278" s="26">
        <v>2</v>
      </c>
      <c r="F278" s="26">
        <v>400</v>
      </c>
      <c r="G278" s="27">
        <f>0.1+90/400</f>
        <v>0.325</v>
      </c>
      <c r="H278" s="28">
        <f t="shared" si="16"/>
        <v>142.49999999999997</v>
      </c>
      <c r="I278" s="29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7">
        <f>0.3+150/630</f>
        <v>0.5380952380952381</v>
      </c>
      <c r="H279" s="28">
        <f t="shared" si="16"/>
        <v>96.89999999999999</v>
      </c>
      <c r="I279" s="30"/>
    </row>
    <row r="280" spans="1:9" ht="15">
      <c r="A280" s="30"/>
      <c r="B280" s="26" t="s">
        <v>377</v>
      </c>
      <c r="C280" s="30"/>
      <c r="D280" s="26" t="s">
        <v>6</v>
      </c>
      <c r="E280" s="26">
        <v>2</v>
      </c>
      <c r="F280" s="26">
        <v>630</v>
      </c>
      <c r="G280" s="27">
        <f>0.34+150/630</f>
        <v>0.5780952380952381</v>
      </c>
      <c r="H280" s="28">
        <f t="shared" si="16"/>
        <v>72.95999999999997</v>
      </c>
      <c r="I280" s="30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7">
        <v>0.77</v>
      </c>
      <c r="H281" s="28">
        <v>0</v>
      </c>
      <c r="I281" s="30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7">
        <v>0.66</v>
      </c>
      <c r="H282" s="28">
        <f t="shared" si="16"/>
        <v>9.499999999999982</v>
      </c>
      <c r="I282" s="30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7">
        <f>0.3+115/400</f>
        <v>0.5874999999999999</v>
      </c>
      <c r="H283" s="28">
        <f t="shared" si="16"/>
        <v>42.750000000000014</v>
      </c>
      <c r="I283" s="30"/>
    </row>
    <row r="284" spans="1:9" ht="15">
      <c r="A284" s="26"/>
      <c r="B284" s="26" t="s">
        <v>377</v>
      </c>
      <c r="C284" s="30"/>
      <c r="D284" s="26" t="s">
        <v>3</v>
      </c>
      <c r="E284" s="26">
        <v>2</v>
      </c>
      <c r="F284" s="26">
        <v>400</v>
      </c>
      <c r="G284" s="27">
        <v>0.42</v>
      </c>
      <c r="H284" s="28">
        <f t="shared" si="16"/>
        <v>106.39999999999998</v>
      </c>
      <c r="I284" s="30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7">
        <v>0.5</v>
      </c>
      <c r="H285" s="28">
        <f t="shared" si="16"/>
        <v>47.499999999999986</v>
      </c>
      <c r="I285" s="30"/>
    </row>
    <row r="286" spans="1:9" ht="15">
      <c r="A286" s="26"/>
      <c r="B286" s="26" t="s">
        <v>377</v>
      </c>
      <c r="C286" s="30"/>
      <c r="D286" s="26" t="s">
        <v>6</v>
      </c>
      <c r="E286" s="26">
        <v>2</v>
      </c>
      <c r="F286" s="26">
        <v>320</v>
      </c>
      <c r="G286" s="27">
        <v>0.63</v>
      </c>
      <c r="H286" s="28">
        <f t="shared" si="16"/>
        <v>21.279999999999983</v>
      </c>
      <c r="I286" s="30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7">
        <f>0.3+135/400</f>
        <v>0.6375</v>
      </c>
      <c r="H287" s="28">
        <f t="shared" si="16"/>
        <v>23.75</v>
      </c>
      <c r="I287" s="30"/>
    </row>
    <row r="288" spans="1:9" ht="15">
      <c r="A288" s="26"/>
      <c r="B288" s="26" t="s">
        <v>377</v>
      </c>
      <c r="C288" s="30"/>
      <c r="D288" s="26" t="s">
        <v>6</v>
      </c>
      <c r="E288" s="26">
        <v>2</v>
      </c>
      <c r="F288" s="26">
        <v>400</v>
      </c>
      <c r="G288" s="27">
        <f>0.4+30/400</f>
        <v>0.47500000000000003</v>
      </c>
      <c r="H288" s="28">
        <f t="shared" si="16"/>
        <v>85.49999999999997</v>
      </c>
      <c r="I288" s="30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7">
        <v>0.55</v>
      </c>
      <c r="H289" s="28">
        <f t="shared" si="16"/>
        <v>56.999999999999964</v>
      </c>
      <c r="I289" s="30"/>
    </row>
    <row r="290" spans="1:9" ht="15">
      <c r="A290" s="30"/>
      <c r="B290" s="26" t="s">
        <v>377</v>
      </c>
      <c r="C290" s="30"/>
      <c r="D290" s="26" t="s">
        <v>6</v>
      </c>
      <c r="E290" s="26">
        <v>2</v>
      </c>
      <c r="F290" s="26">
        <v>400</v>
      </c>
      <c r="G290" s="27">
        <f>0.24+60/400</f>
        <v>0.39</v>
      </c>
      <c r="H290" s="28">
        <f t="shared" si="16"/>
        <v>117.79999999999997</v>
      </c>
      <c r="I290" s="30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7">
        <v>0.62</v>
      </c>
      <c r="H291" s="28">
        <f t="shared" si="16"/>
        <v>24.319999999999986</v>
      </c>
      <c r="I291" s="30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7">
        <v>0.53</v>
      </c>
      <c r="H292" s="28">
        <f t="shared" si="16"/>
        <v>101.74499999999995</v>
      </c>
      <c r="I292" s="30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7">
        <v>0.44</v>
      </c>
      <c r="H293" s="28">
        <f t="shared" si="16"/>
        <v>98.79999999999998</v>
      </c>
      <c r="I293" s="30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7">
        <f>0.25+66/400</f>
        <v>0.41500000000000004</v>
      </c>
      <c r="H294" s="28">
        <f t="shared" si="16"/>
        <v>108.29999999999997</v>
      </c>
      <c r="I294" s="30"/>
    </row>
    <row r="295" spans="1:9" ht="15">
      <c r="A295" s="26"/>
      <c r="B295" s="26" t="s">
        <v>377</v>
      </c>
      <c r="C295" s="30"/>
      <c r="D295" s="26" t="s">
        <v>6</v>
      </c>
      <c r="E295" s="26">
        <v>2</v>
      </c>
      <c r="F295" s="26">
        <v>400</v>
      </c>
      <c r="G295" s="27">
        <v>0.56</v>
      </c>
      <c r="H295" s="28">
        <f t="shared" si="16"/>
        <v>53.19999999999996</v>
      </c>
      <c r="I295" s="30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7">
        <v>0.74</v>
      </c>
      <c r="H296" s="28">
        <v>0</v>
      </c>
      <c r="I296" s="30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7">
        <v>0.65</v>
      </c>
      <c r="H297" s="28">
        <f aca="true" t="shared" si="17" ref="H297:H313">0.95*(0.7-G297)*F297</f>
        <v>11.874999999999982</v>
      </c>
      <c r="I297" s="30"/>
    </row>
    <row r="298" spans="1:9" ht="15">
      <c r="A298" s="26"/>
      <c r="B298" s="26" t="s">
        <v>377</v>
      </c>
      <c r="C298" s="30"/>
      <c r="D298" s="26" t="s">
        <v>6</v>
      </c>
      <c r="E298" s="26">
        <v>2</v>
      </c>
      <c r="F298" s="26">
        <v>400</v>
      </c>
      <c r="G298" s="27">
        <f>0.36+50/400</f>
        <v>0.485</v>
      </c>
      <c r="H298" s="28">
        <f t="shared" si="17"/>
        <v>81.69999999999999</v>
      </c>
      <c r="I298" s="30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7">
        <v>0.4</v>
      </c>
      <c r="H299" s="28">
        <f t="shared" si="17"/>
        <v>113.99999999999997</v>
      </c>
      <c r="I299" s="30"/>
    </row>
    <row r="300" spans="1:9" ht="15">
      <c r="A300" s="26"/>
      <c r="B300" s="26" t="s">
        <v>377</v>
      </c>
      <c r="C300" s="30"/>
      <c r="D300" s="26" t="s">
        <v>3</v>
      </c>
      <c r="E300" s="26">
        <v>2</v>
      </c>
      <c r="F300" s="26">
        <v>400</v>
      </c>
      <c r="G300" s="27">
        <f>0.16+45/400</f>
        <v>0.2725</v>
      </c>
      <c r="H300" s="28">
        <f t="shared" si="17"/>
        <v>162.44999999999996</v>
      </c>
      <c r="I300" s="30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7">
        <v>0.64</v>
      </c>
      <c r="H301" s="28">
        <f t="shared" si="17"/>
        <v>22.799999999999976</v>
      </c>
      <c r="I301" s="30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7">
        <v>0.62</v>
      </c>
      <c r="H302" s="28">
        <f t="shared" si="17"/>
        <v>47.879999999999974</v>
      </c>
      <c r="I302" s="30"/>
    </row>
    <row r="303" spans="1:9" ht="15">
      <c r="A303" s="26"/>
      <c r="B303" s="26" t="s">
        <v>377</v>
      </c>
      <c r="C303" s="30"/>
      <c r="D303" s="26" t="s">
        <v>6</v>
      </c>
      <c r="E303" s="26">
        <v>2</v>
      </c>
      <c r="F303" s="26">
        <v>630</v>
      </c>
      <c r="G303" s="27">
        <f>0.35+70/630</f>
        <v>0.4611111111111111</v>
      </c>
      <c r="H303" s="28">
        <f t="shared" si="17"/>
        <v>142.975</v>
      </c>
      <c r="I303" s="30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7">
        <f>0.15+200/630</f>
        <v>0.46746031746031746</v>
      </c>
      <c r="H304" s="28">
        <f t="shared" si="17"/>
        <v>139.17499999999998</v>
      </c>
      <c r="I304" s="32" t="s">
        <v>518</v>
      </c>
    </row>
    <row r="305" spans="1:9" ht="15">
      <c r="A305" s="26"/>
      <c r="B305" s="26" t="s">
        <v>377</v>
      </c>
      <c r="C305" s="30"/>
      <c r="D305" s="26" t="s">
        <v>3</v>
      </c>
      <c r="E305" s="26">
        <v>2</v>
      </c>
      <c r="F305" s="26">
        <v>630</v>
      </c>
      <c r="G305" s="27">
        <f>0.19+200/630</f>
        <v>0.5074603174603174</v>
      </c>
      <c r="H305" s="28">
        <f t="shared" si="17"/>
        <v>115.235</v>
      </c>
      <c r="I305" s="33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7">
        <f>0.23+100/400</f>
        <v>0.48</v>
      </c>
      <c r="H306" s="28">
        <f t="shared" si="17"/>
        <v>83.59999999999998</v>
      </c>
      <c r="I306" s="30"/>
    </row>
    <row r="307" spans="1:9" ht="15">
      <c r="A307" s="26"/>
      <c r="B307" s="26" t="s">
        <v>377</v>
      </c>
      <c r="C307" s="30"/>
      <c r="D307" s="26" t="s">
        <v>6</v>
      </c>
      <c r="E307" s="26">
        <v>2</v>
      </c>
      <c r="F307" s="26">
        <v>400</v>
      </c>
      <c r="G307" s="27">
        <f>0.16+120/400</f>
        <v>0.45999999999999996</v>
      </c>
      <c r="H307" s="28">
        <f t="shared" si="17"/>
        <v>91.19999999999999</v>
      </c>
      <c r="I307" s="30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7">
        <f>0.35+90/630</f>
        <v>0.4928571428571428</v>
      </c>
      <c r="H308" s="28">
        <f t="shared" si="17"/>
        <v>123.97499999999998</v>
      </c>
      <c r="I308" s="30"/>
    </row>
    <row r="309" spans="1:9" ht="15">
      <c r="A309" s="26"/>
      <c r="B309" s="26" t="s">
        <v>377</v>
      </c>
      <c r="C309" s="30"/>
      <c r="D309" s="26" t="s">
        <v>6</v>
      </c>
      <c r="E309" s="26">
        <v>2</v>
      </c>
      <c r="F309" s="26">
        <v>630</v>
      </c>
      <c r="G309" s="27">
        <f>0.42+60/630</f>
        <v>0.5152380952380953</v>
      </c>
      <c r="H309" s="28">
        <f t="shared" si="17"/>
        <v>110.57999999999996</v>
      </c>
      <c r="I309" s="30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7">
        <v>0.59</v>
      </c>
      <c r="H310" s="28">
        <f t="shared" si="17"/>
        <v>41.79999999999999</v>
      </c>
      <c r="I310" s="30"/>
    </row>
    <row r="311" spans="1:9" ht="15">
      <c r="A311" s="26"/>
      <c r="B311" s="26" t="s">
        <v>377</v>
      </c>
      <c r="C311" s="30"/>
      <c r="D311" s="26" t="s">
        <v>6</v>
      </c>
      <c r="E311" s="26">
        <v>2</v>
      </c>
      <c r="F311" s="26">
        <v>315</v>
      </c>
      <c r="G311" s="27">
        <f>0.23+100/315</f>
        <v>0.5474603174603174</v>
      </c>
      <c r="H311" s="28">
        <f t="shared" si="17"/>
        <v>45.6475</v>
      </c>
      <c r="I311" s="30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7">
        <v>0.56</v>
      </c>
      <c r="H312" s="28">
        <f t="shared" si="17"/>
        <v>53.19999999999996</v>
      </c>
      <c r="I312" s="30"/>
    </row>
    <row r="313" spans="1:9" ht="15">
      <c r="A313" s="26"/>
      <c r="B313" s="26" t="s">
        <v>377</v>
      </c>
      <c r="C313" s="30"/>
      <c r="D313" s="26" t="s">
        <v>6</v>
      </c>
      <c r="E313" s="26">
        <v>2</v>
      </c>
      <c r="F313" s="26">
        <v>400</v>
      </c>
      <c r="G313" s="27">
        <f>0.35+70/400</f>
        <v>0.5249999999999999</v>
      </c>
      <c r="H313" s="28">
        <f t="shared" si="17"/>
        <v>66.50000000000001</v>
      </c>
      <c r="I313" s="30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7">
        <v>0.7</v>
      </c>
      <c r="H314" s="26">
        <v>0</v>
      </c>
      <c r="I314" s="30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7">
        <v>0.44</v>
      </c>
      <c r="H315" s="28">
        <f aca="true" t="shared" si="18" ref="H315:H320">0.95*(0.7-G315)*F315</f>
        <v>61.749999999999986</v>
      </c>
      <c r="I315" s="30"/>
    </row>
    <row r="316" spans="1:9" ht="15">
      <c r="A316" s="26"/>
      <c r="B316" s="26" t="s">
        <v>377</v>
      </c>
      <c r="C316" s="30"/>
      <c r="D316" s="26" t="s">
        <v>6</v>
      </c>
      <c r="E316" s="26">
        <v>2</v>
      </c>
      <c r="F316" s="26">
        <v>400</v>
      </c>
      <c r="G316" s="27">
        <v>0.62</v>
      </c>
      <c r="H316" s="28">
        <f t="shared" si="18"/>
        <v>30.399999999999984</v>
      </c>
      <c r="I316" s="30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7">
        <v>0.48</v>
      </c>
      <c r="H317" s="28">
        <f t="shared" si="18"/>
        <v>83.59999999999998</v>
      </c>
      <c r="I317" s="30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7">
        <f>0.14+100/320</f>
        <v>0.4525</v>
      </c>
      <c r="H318" s="28">
        <f t="shared" si="18"/>
        <v>75.23999999999998</v>
      </c>
      <c r="I318" s="30"/>
    </row>
    <row r="319" spans="1:9" ht="15">
      <c r="A319" s="30"/>
      <c r="B319" s="26" t="s">
        <v>377</v>
      </c>
      <c r="C319" s="30"/>
      <c r="D319" s="26" t="s">
        <v>6</v>
      </c>
      <c r="E319" s="26">
        <v>2</v>
      </c>
      <c r="F319" s="26">
        <v>630</v>
      </c>
      <c r="G319" s="27">
        <f>0.29+150/630</f>
        <v>0.5280952380952381</v>
      </c>
      <c r="H319" s="28">
        <f t="shared" si="18"/>
        <v>102.88499999999999</v>
      </c>
      <c r="I319" s="30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7">
        <v>0.66</v>
      </c>
      <c r="H320" s="28">
        <f t="shared" si="18"/>
        <v>15.199999999999973</v>
      </c>
      <c r="I320" s="30"/>
    </row>
    <row r="321" spans="1:9" ht="24" customHeight="1">
      <c r="A321" s="26">
        <v>197</v>
      </c>
      <c r="B321" s="26" t="s">
        <v>377</v>
      </c>
      <c r="C321" s="26" t="s">
        <v>411</v>
      </c>
      <c r="D321" s="36" t="s">
        <v>495</v>
      </c>
      <c r="E321" s="36"/>
      <c r="F321" s="36"/>
      <c r="G321" s="36"/>
      <c r="H321" s="36"/>
      <c r="I321" s="30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7">
        <f>0.27+70/400</f>
        <v>0.445</v>
      </c>
      <c r="H322" s="28">
        <f aca="true" t="shared" si="19" ref="H322:H327">0.95*(0.7-G322)*F322</f>
        <v>96.89999999999998</v>
      </c>
      <c r="I322" s="32" t="s">
        <v>518</v>
      </c>
    </row>
    <row r="323" spans="1:9" ht="15">
      <c r="A323" s="30"/>
      <c r="B323" s="26" t="s">
        <v>377</v>
      </c>
      <c r="C323" s="30"/>
      <c r="D323" s="26" t="s">
        <v>6</v>
      </c>
      <c r="E323" s="26">
        <v>2</v>
      </c>
      <c r="F323" s="26">
        <v>315</v>
      </c>
      <c r="G323" s="27">
        <f>0.16+50/315</f>
        <v>0.31873015873015875</v>
      </c>
      <c r="H323" s="28">
        <f t="shared" si="19"/>
        <v>114.09499999999998</v>
      </c>
      <c r="I323" s="33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7">
        <f>0.17+100/400</f>
        <v>0.42000000000000004</v>
      </c>
      <c r="H324" s="28">
        <f t="shared" si="19"/>
        <v>106.39999999999996</v>
      </c>
      <c r="I324" s="30"/>
    </row>
    <row r="325" spans="1:9" ht="15">
      <c r="A325" s="30"/>
      <c r="B325" s="26" t="s">
        <v>377</v>
      </c>
      <c r="C325" s="30"/>
      <c r="D325" s="26" t="s">
        <v>6</v>
      </c>
      <c r="E325" s="26">
        <v>2</v>
      </c>
      <c r="F325" s="26">
        <v>400</v>
      </c>
      <c r="G325" s="27">
        <f>0.17+100/400</f>
        <v>0.42000000000000004</v>
      </c>
      <c r="H325" s="28">
        <f t="shared" si="19"/>
        <v>106.39999999999996</v>
      </c>
      <c r="I325" s="30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7">
        <v>0.43</v>
      </c>
      <c r="H326" s="28">
        <f t="shared" si="19"/>
        <v>80.79749999999999</v>
      </c>
      <c r="I326" s="30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7">
        <f>0.27+40/315</f>
        <v>0.396984126984127</v>
      </c>
      <c r="H327" s="28">
        <f t="shared" si="19"/>
        <v>90.67749999999998</v>
      </c>
      <c r="I327" s="30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7">
        <v>0.79</v>
      </c>
      <c r="H328" s="26">
        <v>0</v>
      </c>
      <c r="I328" s="30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7">
        <f>0.27+40/315</f>
        <v>0.396984126984127</v>
      </c>
      <c r="H329" s="28">
        <f>0.95*(0.7-G329)*F329</f>
        <v>90.67749999999998</v>
      </c>
      <c r="I329" s="30"/>
    </row>
    <row r="330" spans="1:9" ht="15">
      <c r="A330" s="26"/>
      <c r="B330" s="26" t="s">
        <v>377</v>
      </c>
      <c r="C330" s="30"/>
      <c r="D330" s="26" t="s">
        <v>6</v>
      </c>
      <c r="E330" s="26">
        <v>2</v>
      </c>
      <c r="F330" s="26">
        <v>400</v>
      </c>
      <c r="G330" s="27">
        <f>0.36+70/400</f>
        <v>0.5349999999999999</v>
      </c>
      <c r="H330" s="28">
        <f>0.95*(0.7-G330)*F330</f>
        <v>62.70000000000001</v>
      </c>
      <c r="I330" s="30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7">
        <v>0.6</v>
      </c>
      <c r="H331" s="28">
        <f>0.95*(0.7-G331)*F331</f>
        <v>59.84999999999998</v>
      </c>
      <c r="I331" s="30"/>
    </row>
    <row r="332" spans="1:9" ht="15">
      <c r="A332" s="26">
        <v>205</v>
      </c>
      <c r="B332" s="26" t="s">
        <v>377</v>
      </c>
      <c r="C332" s="26" t="s">
        <v>180</v>
      </c>
      <c r="D332" s="26" t="s">
        <v>3</v>
      </c>
      <c r="E332" s="26">
        <v>1</v>
      </c>
      <c r="F332" s="26">
        <v>630</v>
      </c>
      <c r="G332" s="27">
        <v>0.81</v>
      </c>
      <c r="H332" s="26">
        <v>0</v>
      </c>
      <c r="I332" s="30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7">
        <v>0.9</v>
      </c>
      <c r="H333" s="26">
        <v>0</v>
      </c>
      <c r="I333" s="30"/>
    </row>
    <row r="334" spans="1:9" ht="15">
      <c r="A334" s="26"/>
      <c r="B334" s="26" t="s">
        <v>377</v>
      </c>
      <c r="C334" s="30"/>
      <c r="D334" s="26" t="s">
        <v>6</v>
      </c>
      <c r="E334" s="26">
        <v>2</v>
      </c>
      <c r="F334" s="26">
        <v>250</v>
      </c>
      <c r="G334" s="27">
        <v>0.51</v>
      </c>
      <c r="H334" s="28">
        <f>0.95*(0.7-G334)*F334</f>
        <v>45.124999999999986</v>
      </c>
      <c r="I334" s="30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7">
        <v>0.55</v>
      </c>
      <c r="H335" s="28">
        <f>0.95*(0.7-G335)*F335</f>
        <v>56.999999999999964</v>
      </c>
      <c r="I335" s="30"/>
    </row>
    <row r="336" spans="1:9" ht="15">
      <c r="A336" s="26"/>
      <c r="B336" s="26" t="s">
        <v>377</v>
      </c>
      <c r="C336" s="30"/>
      <c r="D336" s="26" t="s">
        <v>3</v>
      </c>
      <c r="E336" s="26">
        <v>2</v>
      </c>
      <c r="F336" s="26">
        <v>400</v>
      </c>
      <c r="G336" s="27">
        <f>0.21+40/400</f>
        <v>0.31</v>
      </c>
      <c r="H336" s="28">
        <f>0.95*(0.7-G336)*F336</f>
        <v>148.2</v>
      </c>
      <c r="I336" s="30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7">
        <f>0.47+70/630</f>
        <v>0.5811111111111111</v>
      </c>
      <c r="H337" s="28">
        <f>0.95*(0.7-G337)*F337</f>
        <v>71.15499999999996</v>
      </c>
      <c r="I337" s="30"/>
    </row>
    <row r="338" spans="1:9" ht="15">
      <c r="A338" s="26"/>
      <c r="B338" s="26" t="s">
        <v>377</v>
      </c>
      <c r="C338" s="30"/>
      <c r="D338" s="26" t="s">
        <v>6</v>
      </c>
      <c r="E338" s="26">
        <v>2</v>
      </c>
      <c r="F338" s="26">
        <v>400</v>
      </c>
      <c r="G338" s="27">
        <f>0.27+70/400</f>
        <v>0.445</v>
      </c>
      <c r="H338" s="28">
        <f>0.95*(0.7-G338)*F338</f>
        <v>96.89999999999998</v>
      </c>
      <c r="I338" s="30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7">
        <v>0.73</v>
      </c>
      <c r="H339" s="26">
        <v>0</v>
      </c>
      <c r="I339" s="30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7">
        <v>0.59</v>
      </c>
      <c r="H340" s="28">
        <f>0.95*(0.7-G340)*F340</f>
        <v>41.79999999999999</v>
      </c>
      <c r="I340" s="30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7">
        <v>0.17</v>
      </c>
      <c r="H341" s="28">
        <f>0.95*(0.7-G341)*F341</f>
        <v>80.55999999999999</v>
      </c>
      <c r="I341" s="32" t="s">
        <v>518</v>
      </c>
    </row>
    <row r="342" spans="1:9" ht="15">
      <c r="A342" s="26"/>
      <c r="B342" s="26" t="s">
        <v>377</v>
      </c>
      <c r="C342" s="30"/>
      <c r="D342" s="26" t="s">
        <v>6</v>
      </c>
      <c r="E342" s="26">
        <v>2</v>
      </c>
      <c r="F342" s="26">
        <v>160</v>
      </c>
      <c r="G342" s="27">
        <v>0.07</v>
      </c>
      <c r="H342" s="28">
        <f>0.95*(0.7-G342)*F342</f>
        <v>95.75999999999999</v>
      </c>
      <c r="I342" s="33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7">
        <f>0.18+65/250</f>
        <v>0.44</v>
      </c>
      <c r="H343" s="28">
        <f>0.95*(0.7-G343)*F343</f>
        <v>61.749999999999986</v>
      </c>
      <c r="I343" s="30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7">
        <v>0.81</v>
      </c>
      <c r="H344" s="26">
        <v>0</v>
      </c>
      <c r="I344" s="30"/>
    </row>
    <row r="345" spans="1:9" ht="15">
      <c r="A345" s="26"/>
      <c r="B345" s="26" t="s">
        <v>377</v>
      </c>
      <c r="C345" s="30"/>
      <c r="D345" s="26" t="s">
        <v>6</v>
      </c>
      <c r="E345" s="26">
        <v>2</v>
      </c>
      <c r="F345" s="26">
        <v>250</v>
      </c>
      <c r="G345" s="27">
        <v>0.66</v>
      </c>
      <c r="H345" s="28">
        <f aca="true" t="shared" si="20" ref="H345:H356">0.95*(0.7-G345)*F345</f>
        <v>9.499999999999982</v>
      </c>
      <c r="I345" s="30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7">
        <f>0.47+100/630+20/630</f>
        <v>0.6604761904761904</v>
      </c>
      <c r="H346" s="28">
        <f t="shared" si="20"/>
        <v>23.654999999999994</v>
      </c>
      <c r="I346" s="30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7">
        <v>0.68</v>
      </c>
      <c r="H347" s="28">
        <f t="shared" si="20"/>
        <v>7.599999999999964</v>
      </c>
      <c r="I347" s="30"/>
    </row>
    <row r="348" spans="1:9" ht="15">
      <c r="A348" s="26"/>
      <c r="B348" s="26" t="s">
        <v>377</v>
      </c>
      <c r="C348" s="30"/>
      <c r="D348" s="26" t="s">
        <v>6</v>
      </c>
      <c r="E348" s="26">
        <v>2</v>
      </c>
      <c r="F348" s="26">
        <v>400</v>
      </c>
      <c r="G348" s="27">
        <f>0.12+80/400</f>
        <v>0.32</v>
      </c>
      <c r="H348" s="28">
        <f t="shared" si="20"/>
        <v>144.39999999999998</v>
      </c>
      <c r="I348" s="30"/>
    </row>
    <row r="349" spans="1:9" ht="60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7">
        <v>1</v>
      </c>
      <c r="H349" s="28">
        <v>0</v>
      </c>
      <c r="I349" s="31" t="s">
        <v>535</v>
      </c>
    </row>
    <row r="350" spans="1:9" ht="60.75">
      <c r="A350" s="26"/>
      <c r="B350" s="26" t="s">
        <v>377</v>
      </c>
      <c r="C350" s="30"/>
      <c r="D350" s="26" t="s">
        <v>6</v>
      </c>
      <c r="E350" s="26">
        <v>2</v>
      </c>
      <c r="F350" s="26">
        <v>400</v>
      </c>
      <c r="G350" s="27">
        <v>1</v>
      </c>
      <c r="H350" s="28">
        <v>0</v>
      </c>
      <c r="I350" s="31" t="s">
        <v>535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7">
        <v>0.62</v>
      </c>
      <c r="H351" s="28">
        <f t="shared" si="20"/>
        <v>18.99999999999999</v>
      </c>
      <c r="I351" s="30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7">
        <f>0.15+25/250</f>
        <v>0.25</v>
      </c>
      <c r="H352" s="28">
        <f t="shared" si="20"/>
        <v>106.87499999999999</v>
      </c>
      <c r="I352" s="30"/>
    </row>
    <row r="353" spans="1:9" ht="15">
      <c r="A353" s="26"/>
      <c r="B353" s="26" t="s">
        <v>377</v>
      </c>
      <c r="C353" s="30"/>
      <c r="D353" s="26" t="s">
        <v>6</v>
      </c>
      <c r="E353" s="26">
        <v>2</v>
      </c>
      <c r="F353" s="26">
        <v>200</v>
      </c>
      <c r="G353" s="27">
        <v>0.81</v>
      </c>
      <c r="H353" s="28">
        <v>0</v>
      </c>
      <c r="I353" s="30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7">
        <f>0.39+100/630</f>
        <v>0.5487301587301587</v>
      </c>
      <c r="H354" s="28">
        <f t="shared" si="20"/>
        <v>90.53499999999995</v>
      </c>
      <c r="I354" s="30"/>
    </row>
    <row r="355" spans="1:9" ht="15">
      <c r="A355" s="26"/>
      <c r="B355" s="26" t="s">
        <v>377</v>
      </c>
      <c r="C355" s="30"/>
      <c r="D355" s="26" t="s">
        <v>6</v>
      </c>
      <c r="E355" s="26">
        <v>2</v>
      </c>
      <c r="F355" s="26">
        <v>400</v>
      </c>
      <c r="G355" s="27">
        <v>0.44</v>
      </c>
      <c r="H355" s="28">
        <f t="shared" si="20"/>
        <v>98.79999999999998</v>
      </c>
      <c r="I355" s="30"/>
    </row>
    <row r="356" spans="1:9" ht="15">
      <c r="A356" s="26"/>
      <c r="B356" s="26" t="s">
        <v>377</v>
      </c>
      <c r="C356" s="30"/>
      <c r="D356" s="26" t="s">
        <v>6</v>
      </c>
      <c r="E356" s="26">
        <v>3</v>
      </c>
      <c r="F356" s="26">
        <v>400</v>
      </c>
      <c r="G356" s="27">
        <v>0.69</v>
      </c>
      <c r="H356" s="28">
        <f t="shared" si="20"/>
        <v>3.8000000000000034</v>
      </c>
      <c r="I356" s="30"/>
    </row>
    <row r="357" spans="1:9" ht="15">
      <c r="A357" s="26"/>
      <c r="B357" s="26" t="s">
        <v>377</v>
      </c>
      <c r="C357" s="30"/>
      <c r="D357" s="26" t="s">
        <v>6</v>
      </c>
      <c r="E357" s="26">
        <v>4</v>
      </c>
      <c r="F357" s="26">
        <v>400</v>
      </c>
      <c r="G357" s="27">
        <v>0.73</v>
      </c>
      <c r="H357" s="28">
        <v>0</v>
      </c>
      <c r="I357" s="30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7">
        <f>0.45+20/630</f>
        <v>0.48174603174603176</v>
      </c>
      <c r="H358" s="28">
        <f>0.95*(0.7-G358)*F358</f>
        <v>130.62499999999994</v>
      </c>
      <c r="I358" s="30"/>
    </row>
    <row r="359" spans="1:9" ht="15">
      <c r="A359" s="26"/>
      <c r="B359" s="26" t="s">
        <v>377</v>
      </c>
      <c r="C359" s="30"/>
      <c r="D359" s="26" t="s">
        <v>6</v>
      </c>
      <c r="E359" s="26">
        <v>2</v>
      </c>
      <c r="F359" s="26">
        <v>630</v>
      </c>
      <c r="G359" s="27">
        <v>0.52</v>
      </c>
      <c r="H359" s="28">
        <f>0.95*(0.7-G359)*F359</f>
        <v>107.72999999999996</v>
      </c>
      <c r="I359" s="30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7">
        <v>0.55</v>
      </c>
      <c r="H360" s="28">
        <f>0.95*(0.7-G360)*F360</f>
        <v>56.999999999999964</v>
      </c>
      <c r="I360" s="30"/>
    </row>
    <row r="361" spans="1:9" ht="15">
      <c r="A361" s="26">
        <v>222</v>
      </c>
      <c r="B361" s="26" t="s">
        <v>377</v>
      </c>
      <c r="C361" s="26" t="s">
        <v>496</v>
      </c>
      <c r="D361" s="26" t="s">
        <v>3</v>
      </c>
      <c r="E361" s="26">
        <v>1</v>
      </c>
      <c r="F361" s="26">
        <v>400</v>
      </c>
      <c r="G361" s="27">
        <v>0.46</v>
      </c>
      <c r="H361" s="28">
        <f>0.95*(0.7-G361)*F361</f>
        <v>91.19999999999997</v>
      </c>
      <c r="I361" s="30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7">
        <v>0.75</v>
      </c>
      <c r="H362" s="28">
        <v>0</v>
      </c>
      <c r="I362" s="30"/>
    </row>
    <row r="363" spans="1:9" ht="15">
      <c r="A363" s="26"/>
      <c r="B363" s="26" t="s">
        <v>377</v>
      </c>
      <c r="C363" s="30"/>
      <c r="D363" s="26" t="s">
        <v>3</v>
      </c>
      <c r="E363" s="26">
        <v>2</v>
      </c>
      <c r="F363" s="26">
        <v>400</v>
      </c>
      <c r="G363" s="27">
        <v>0.64</v>
      </c>
      <c r="H363" s="28">
        <f aca="true" t="shared" si="21" ref="H363:H375">0.95*(0.7-G363)*F363</f>
        <v>22.799999999999976</v>
      </c>
      <c r="I363" s="30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7">
        <f>0.05+150/400</f>
        <v>0.425</v>
      </c>
      <c r="H364" s="28">
        <f t="shared" si="21"/>
        <v>104.5</v>
      </c>
      <c r="I364" s="30"/>
    </row>
    <row r="365" spans="1:9" ht="15">
      <c r="A365" s="26"/>
      <c r="B365" s="26" t="s">
        <v>377</v>
      </c>
      <c r="C365" s="30"/>
      <c r="D365" s="26" t="s">
        <v>3</v>
      </c>
      <c r="E365" s="26">
        <v>2</v>
      </c>
      <c r="F365" s="26">
        <v>400</v>
      </c>
      <c r="G365" s="27">
        <f>0.23+100/400</f>
        <v>0.48</v>
      </c>
      <c r="H365" s="28">
        <f t="shared" si="21"/>
        <v>83.59999999999998</v>
      </c>
      <c r="I365" s="30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7">
        <v>0.63</v>
      </c>
      <c r="H366" s="28">
        <f t="shared" si="21"/>
        <v>26.59999999999998</v>
      </c>
      <c r="I366" s="30"/>
    </row>
    <row r="367" spans="1:9" ht="15">
      <c r="A367" s="26"/>
      <c r="B367" s="26" t="s">
        <v>377</v>
      </c>
      <c r="C367" s="30"/>
      <c r="D367" s="26" t="s">
        <v>3</v>
      </c>
      <c r="E367" s="26">
        <v>2</v>
      </c>
      <c r="F367" s="26">
        <v>400</v>
      </c>
      <c r="G367" s="27">
        <f>0.43+20/400</f>
        <v>0.48</v>
      </c>
      <c r="H367" s="28">
        <f t="shared" si="21"/>
        <v>83.59999999999998</v>
      </c>
      <c r="I367" s="30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7">
        <f>0.22+50/400</f>
        <v>0.345</v>
      </c>
      <c r="H368" s="28">
        <f t="shared" si="21"/>
        <v>134.9</v>
      </c>
      <c r="I368" s="30"/>
    </row>
    <row r="369" spans="1:9" ht="15">
      <c r="A369" s="26"/>
      <c r="B369" s="26" t="s">
        <v>377</v>
      </c>
      <c r="C369" s="30"/>
      <c r="D369" s="26" t="s">
        <v>6</v>
      </c>
      <c r="E369" s="26">
        <v>2</v>
      </c>
      <c r="F369" s="26">
        <v>400</v>
      </c>
      <c r="G369" s="27">
        <f>0.28+50/400</f>
        <v>0.405</v>
      </c>
      <c r="H369" s="28">
        <f t="shared" si="21"/>
        <v>112.09999999999998</v>
      </c>
      <c r="I369" s="30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7">
        <v>0.6</v>
      </c>
      <c r="H370" s="28">
        <f t="shared" si="21"/>
        <v>28.499999999999993</v>
      </c>
      <c r="I370" s="30"/>
    </row>
    <row r="371" spans="1:9" ht="15">
      <c r="A371" s="26"/>
      <c r="B371" s="26" t="s">
        <v>377</v>
      </c>
      <c r="C371" s="30"/>
      <c r="D371" s="26" t="s">
        <v>3</v>
      </c>
      <c r="E371" s="26">
        <v>2</v>
      </c>
      <c r="F371" s="26">
        <v>400</v>
      </c>
      <c r="G371" s="27">
        <f>0.42+60/400</f>
        <v>0.57</v>
      </c>
      <c r="H371" s="28">
        <f t="shared" si="21"/>
        <v>49.4</v>
      </c>
      <c r="I371" s="30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7">
        <v>0.56</v>
      </c>
      <c r="H372" s="28">
        <f t="shared" si="21"/>
        <v>53.19999999999996</v>
      </c>
      <c r="I372" s="30"/>
    </row>
    <row r="373" spans="1:9" ht="15">
      <c r="A373" s="30"/>
      <c r="B373" s="26" t="s">
        <v>377</v>
      </c>
      <c r="C373" s="30"/>
      <c r="D373" s="26" t="s">
        <v>3</v>
      </c>
      <c r="E373" s="26">
        <v>2</v>
      </c>
      <c r="F373" s="26">
        <v>400</v>
      </c>
      <c r="G373" s="27">
        <v>0.55</v>
      </c>
      <c r="H373" s="28">
        <f t="shared" si="21"/>
        <v>56.999999999999964</v>
      </c>
      <c r="I373" s="30"/>
    </row>
    <row r="374" spans="1:9" ht="15">
      <c r="A374" s="26">
        <v>229</v>
      </c>
      <c r="B374" s="26" t="s">
        <v>377</v>
      </c>
      <c r="C374" s="26" t="s">
        <v>202</v>
      </c>
      <c r="D374" s="26" t="s">
        <v>6</v>
      </c>
      <c r="E374" s="26">
        <v>1</v>
      </c>
      <c r="F374" s="36" t="s">
        <v>497</v>
      </c>
      <c r="G374" s="36"/>
      <c r="H374" s="36"/>
      <c r="I374" s="32" t="s">
        <v>518</v>
      </c>
    </row>
    <row r="375" spans="1:9" ht="15">
      <c r="A375" s="26"/>
      <c r="B375" s="26" t="s">
        <v>377</v>
      </c>
      <c r="C375" s="30"/>
      <c r="D375" s="26" t="s">
        <v>6</v>
      </c>
      <c r="E375" s="26">
        <v>2</v>
      </c>
      <c r="F375" s="26">
        <v>400</v>
      </c>
      <c r="G375" s="27">
        <v>0.2</v>
      </c>
      <c r="H375" s="28">
        <f t="shared" si="21"/>
        <v>189.99999999999997</v>
      </c>
      <c r="I375" s="33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7">
        <v>0.48</v>
      </c>
      <c r="H376" s="28">
        <f aca="true" t="shared" si="22" ref="H376:H440">0.95*(0.7-G376)*F376</f>
        <v>83.59999999999998</v>
      </c>
      <c r="I376" s="30"/>
    </row>
    <row r="377" spans="1:9" ht="15">
      <c r="A377" s="26"/>
      <c r="B377" s="26" t="s">
        <v>377</v>
      </c>
      <c r="C377" s="30"/>
      <c r="D377" s="26" t="s">
        <v>6</v>
      </c>
      <c r="E377" s="26">
        <v>2</v>
      </c>
      <c r="F377" s="26">
        <v>400</v>
      </c>
      <c r="G377" s="27">
        <v>0.49</v>
      </c>
      <c r="H377" s="28">
        <f t="shared" si="22"/>
        <v>79.79999999999998</v>
      </c>
      <c r="I377" s="30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7">
        <f>0.17+70/400+150/400</f>
        <v>0.72</v>
      </c>
      <c r="H378" s="28">
        <v>0</v>
      </c>
      <c r="I378" s="30"/>
    </row>
    <row r="379" spans="1:9" ht="15">
      <c r="A379" s="26"/>
      <c r="B379" s="26" t="s">
        <v>377</v>
      </c>
      <c r="C379" s="30"/>
      <c r="D379" s="26" t="s">
        <v>3</v>
      </c>
      <c r="E379" s="26">
        <v>2</v>
      </c>
      <c r="F379" s="26">
        <v>400</v>
      </c>
      <c r="G379" s="27">
        <v>0.51</v>
      </c>
      <c r="H379" s="28">
        <f t="shared" si="22"/>
        <v>72.19999999999997</v>
      </c>
      <c r="I379" s="30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7">
        <f>0.05+50/400</f>
        <v>0.175</v>
      </c>
      <c r="H380" s="28">
        <f t="shared" si="22"/>
        <v>199.49999999999997</v>
      </c>
      <c r="I380" s="32" t="s">
        <v>518</v>
      </c>
    </row>
    <row r="381" spans="1:9" ht="15">
      <c r="A381" s="26"/>
      <c r="B381" s="26" t="s">
        <v>377</v>
      </c>
      <c r="C381" s="30"/>
      <c r="D381" s="26" t="s">
        <v>3</v>
      </c>
      <c r="E381" s="26">
        <v>2</v>
      </c>
      <c r="F381" s="26">
        <v>400</v>
      </c>
      <c r="G381" s="27">
        <f>0.1+50/400</f>
        <v>0.225</v>
      </c>
      <c r="H381" s="28">
        <f t="shared" si="22"/>
        <v>180.5</v>
      </c>
      <c r="I381" s="33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7">
        <v>0.76</v>
      </c>
      <c r="H382" s="28">
        <v>0</v>
      </c>
      <c r="I382" s="30"/>
    </row>
    <row r="383" spans="1:9" ht="15">
      <c r="A383" s="26"/>
      <c r="B383" s="26" t="s">
        <v>377</v>
      </c>
      <c r="C383" s="30"/>
      <c r="D383" s="26" t="s">
        <v>3</v>
      </c>
      <c r="E383" s="26">
        <v>2</v>
      </c>
      <c r="F383" s="26">
        <v>400</v>
      </c>
      <c r="G383" s="27">
        <v>0.3</v>
      </c>
      <c r="H383" s="28">
        <f t="shared" si="22"/>
        <v>151.99999999999997</v>
      </c>
      <c r="I383" s="30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7">
        <v>0.89</v>
      </c>
      <c r="H384" s="28">
        <v>0</v>
      </c>
      <c r="I384" s="30"/>
    </row>
    <row r="385" spans="1:9" ht="15">
      <c r="A385" s="26"/>
      <c r="B385" s="26" t="s">
        <v>377</v>
      </c>
      <c r="C385" s="30"/>
      <c r="D385" s="26" t="s">
        <v>6</v>
      </c>
      <c r="E385" s="26">
        <v>2</v>
      </c>
      <c r="F385" s="26">
        <v>400</v>
      </c>
      <c r="G385" s="27">
        <v>0.7</v>
      </c>
      <c r="H385" s="28">
        <f t="shared" si="22"/>
        <v>0</v>
      </c>
      <c r="I385" s="30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7">
        <f>0.55+50/400</f>
        <v>0.675</v>
      </c>
      <c r="H386" s="28">
        <f t="shared" si="22"/>
        <v>9.499999999999966</v>
      </c>
      <c r="I386" s="30"/>
    </row>
    <row r="387" spans="1:9" ht="15">
      <c r="A387" s="26"/>
      <c r="B387" s="26" t="s">
        <v>377</v>
      </c>
      <c r="C387" s="30"/>
      <c r="D387" s="26" t="s">
        <v>6</v>
      </c>
      <c r="E387" s="26">
        <v>2</v>
      </c>
      <c r="F387" s="26">
        <v>400</v>
      </c>
      <c r="G387" s="27">
        <f>0.37+100/400</f>
        <v>0.62</v>
      </c>
      <c r="H387" s="28">
        <f t="shared" si="22"/>
        <v>30.399999999999984</v>
      </c>
      <c r="I387" s="30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7">
        <f>0.08+240/630</f>
        <v>0.46095238095238095</v>
      </c>
      <c r="H388" s="28">
        <f t="shared" si="22"/>
        <v>143.06999999999996</v>
      </c>
      <c r="I388" s="30"/>
    </row>
    <row r="389" spans="1:9" ht="15">
      <c r="A389" s="26"/>
      <c r="B389" s="26" t="s">
        <v>377</v>
      </c>
      <c r="C389" s="30"/>
      <c r="D389" s="26" t="s">
        <v>3</v>
      </c>
      <c r="E389" s="26">
        <v>2</v>
      </c>
      <c r="F389" s="26">
        <v>400</v>
      </c>
      <c r="G389" s="27">
        <v>0.3</v>
      </c>
      <c r="H389" s="28">
        <f t="shared" si="22"/>
        <v>151.99999999999997</v>
      </c>
      <c r="I389" s="30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7">
        <f>0.49+50/630</f>
        <v>0.5693650793650793</v>
      </c>
      <c r="H390" s="28">
        <f t="shared" si="22"/>
        <v>78.185</v>
      </c>
      <c r="I390" s="30"/>
    </row>
    <row r="391" spans="1:9" ht="15">
      <c r="A391" s="26"/>
      <c r="B391" s="26" t="s">
        <v>377</v>
      </c>
      <c r="C391" s="30"/>
      <c r="D391" s="26" t="s">
        <v>3</v>
      </c>
      <c r="E391" s="26">
        <v>2</v>
      </c>
      <c r="F391" s="26">
        <v>400</v>
      </c>
      <c r="G391" s="27">
        <f>0.44+16/400</f>
        <v>0.48</v>
      </c>
      <c r="H391" s="28">
        <f t="shared" si="22"/>
        <v>83.59999999999998</v>
      </c>
      <c r="I391" s="30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7">
        <f>0.13+180/630</f>
        <v>0.4157142857142857</v>
      </c>
      <c r="H392" s="28">
        <f t="shared" si="22"/>
        <v>170.14499999999995</v>
      </c>
      <c r="I392" s="30"/>
    </row>
    <row r="393" spans="1:9" ht="15">
      <c r="A393" s="26"/>
      <c r="B393" s="26" t="s">
        <v>377</v>
      </c>
      <c r="C393" s="30"/>
      <c r="D393" s="26" t="s">
        <v>6</v>
      </c>
      <c r="E393" s="26">
        <v>2</v>
      </c>
      <c r="F393" s="26">
        <v>630</v>
      </c>
      <c r="G393" s="27">
        <f>0.14+180/630</f>
        <v>0.4257142857142857</v>
      </c>
      <c r="H393" s="28">
        <f t="shared" si="22"/>
        <v>164.15999999999997</v>
      </c>
      <c r="I393" s="30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7">
        <f>0.3+90/630</f>
        <v>0.44285714285714284</v>
      </c>
      <c r="H394" s="28">
        <f t="shared" si="22"/>
        <v>153.89999999999998</v>
      </c>
      <c r="I394" s="30"/>
    </row>
    <row r="395" spans="1:9" ht="15">
      <c r="A395" s="26"/>
      <c r="B395" s="26" t="s">
        <v>377</v>
      </c>
      <c r="C395" s="30"/>
      <c r="D395" s="26" t="s">
        <v>3</v>
      </c>
      <c r="E395" s="26">
        <v>2</v>
      </c>
      <c r="F395" s="26">
        <v>630</v>
      </c>
      <c r="G395" s="27">
        <f>0.38+60/630</f>
        <v>0.47523809523809524</v>
      </c>
      <c r="H395" s="28">
        <f t="shared" si="22"/>
        <v>134.51999999999998</v>
      </c>
      <c r="I395" s="30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7">
        <v>0.51</v>
      </c>
      <c r="H396" s="28">
        <f t="shared" si="22"/>
        <v>45.124999999999986</v>
      </c>
      <c r="I396" s="30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7">
        <v>0.4</v>
      </c>
      <c r="H397" s="28">
        <f t="shared" si="22"/>
        <v>71.24999999999999</v>
      </c>
      <c r="I397" s="30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7">
        <v>0.67</v>
      </c>
      <c r="H398" s="28">
        <f t="shared" si="22"/>
        <v>11.399999999999967</v>
      </c>
      <c r="I398" s="30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7">
        <f>0.23+50/400</f>
        <v>0.355</v>
      </c>
      <c r="H399" s="28">
        <f t="shared" si="22"/>
        <v>131.1</v>
      </c>
      <c r="I399" s="30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7">
        <f>0.25+50/400</f>
        <v>0.375</v>
      </c>
      <c r="H400" s="28">
        <f t="shared" si="22"/>
        <v>123.49999999999999</v>
      </c>
      <c r="I400" s="30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7">
        <v>0.3</v>
      </c>
      <c r="H401" s="28">
        <f t="shared" si="22"/>
        <v>94.99999999999999</v>
      </c>
      <c r="I401" s="30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7">
        <f>0.44+50/630</f>
        <v>0.5193650793650794</v>
      </c>
      <c r="H402" s="28">
        <f t="shared" si="22"/>
        <v>108.10999999999997</v>
      </c>
      <c r="I402" s="30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7">
        <f>0.37+70/630</f>
        <v>0.4811111111111111</v>
      </c>
      <c r="H403" s="28">
        <f t="shared" si="22"/>
        <v>131.00499999999997</v>
      </c>
      <c r="I403" s="30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7">
        <v>0.69</v>
      </c>
      <c r="H404" s="28">
        <f t="shared" si="22"/>
        <v>3.8000000000000034</v>
      </c>
      <c r="I404" s="30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7">
        <f>0.04+150/400</f>
        <v>0.415</v>
      </c>
      <c r="H405" s="28">
        <f t="shared" si="22"/>
        <v>108.3</v>
      </c>
      <c r="I405" s="30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7">
        <v>0.62</v>
      </c>
      <c r="H406" s="28">
        <f t="shared" si="22"/>
        <v>30.399999999999984</v>
      </c>
      <c r="I406" s="30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7">
        <f>0.47+30/400</f>
        <v>0.5449999999999999</v>
      </c>
      <c r="H407" s="28">
        <f t="shared" si="22"/>
        <v>58.900000000000006</v>
      </c>
      <c r="I407" s="30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7">
        <v>0.51</v>
      </c>
      <c r="H408" s="28">
        <f t="shared" si="22"/>
        <v>56.85749999999998</v>
      </c>
      <c r="I408" s="30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7">
        <v>0.32</v>
      </c>
      <c r="H409" s="28">
        <f t="shared" si="22"/>
        <v>144.39999999999998</v>
      </c>
      <c r="I409" s="30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7">
        <v>0.45</v>
      </c>
      <c r="H410" s="28">
        <f t="shared" si="22"/>
        <v>149.62499999999997</v>
      </c>
      <c r="I410" s="32" t="s">
        <v>518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7">
        <v>0.45</v>
      </c>
      <c r="H411" s="28">
        <f t="shared" si="22"/>
        <v>149.62499999999997</v>
      </c>
      <c r="I411" s="33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7">
        <v>0.43</v>
      </c>
      <c r="H412" s="28">
        <f t="shared" si="22"/>
        <v>64.12499999999999</v>
      </c>
      <c r="I412" s="30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7">
        <v>0.43</v>
      </c>
      <c r="H413" s="28">
        <f t="shared" si="22"/>
        <v>64.12499999999999</v>
      </c>
      <c r="I413" s="30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7">
        <f>0.37+90/630</f>
        <v>0.5128571428571429</v>
      </c>
      <c r="H414" s="28">
        <f t="shared" si="22"/>
        <v>112.00499999999994</v>
      </c>
      <c r="I414" s="30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7">
        <v>0.45</v>
      </c>
      <c r="H415" s="28">
        <f t="shared" si="22"/>
        <v>149.62499999999997</v>
      </c>
      <c r="I415" s="30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7">
        <v>0.48</v>
      </c>
      <c r="H416" s="28">
        <f t="shared" si="22"/>
        <v>52.24999999999999</v>
      </c>
      <c r="I416" s="30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7">
        <f>0.12+30/250</f>
        <v>0.24</v>
      </c>
      <c r="H417" s="28">
        <f t="shared" si="22"/>
        <v>109.24999999999999</v>
      </c>
      <c r="I417" s="30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7">
        <v>0.56</v>
      </c>
      <c r="H418" s="28">
        <f>0.95*(0.7-G418)*F418</f>
        <v>53.19999999999996</v>
      </c>
      <c r="I418" s="30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7">
        <f>0.23+90/400</f>
        <v>0.455</v>
      </c>
      <c r="H419" s="28">
        <f t="shared" si="22"/>
        <v>93.09999999999997</v>
      </c>
      <c r="I419" s="30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7">
        <f>0.42+70/630</f>
        <v>0.5311111111111111</v>
      </c>
      <c r="H420" s="28">
        <f t="shared" si="22"/>
        <v>101.07999999999998</v>
      </c>
      <c r="I420" s="30"/>
    </row>
    <row r="421" spans="1:9" ht="15">
      <c r="A421" s="30"/>
      <c r="B421" s="26" t="s">
        <v>377</v>
      </c>
      <c r="C421" s="30"/>
      <c r="D421" s="26" t="s">
        <v>3</v>
      </c>
      <c r="E421" s="26">
        <v>2</v>
      </c>
      <c r="F421" s="26">
        <v>630</v>
      </c>
      <c r="G421" s="27">
        <v>0.55</v>
      </c>
      <c r="H421" s="28">
        <f t="shared" si="22"/>
        <v>89.77499999999993</v>
      </c>
      <c r="I421" s="30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7">
        <f>0.46+50/630</f>
        <v>0.5393650793650794</v>
      </c>
      <c r="H422" s="28">
        <f t="shared" si="22"/>
        <v>96.13999999999996</v>
      </c>
      <c r="I422" s="30"/>
    </row>
    <row r="423" spans="1:9" ht="15">
      <c r="A423" s="26"/>
      <c r="B423" s="26" t="s">
        <v>377</v>
      </c>
      <c r="C423" s="30"/>
      <c r="D423" s="26" t="s">
        <v>3</v>
      </c>
      <c r="E423" s="26">
        <v>2</v>
      </c>
      <c r="F423" s="26">
        <v>630</v>
      </c>
      <c r="G423" s="27">
        <f>0.31+90/630</f>
        <v>0.45285714285714285</v>
      </c>
      <c r="H423" s="28">
        <f t="shared" si="22"/>
        <v>147.91499999999996</v>
      </c>
      <c r="I423" s="30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7">
        <v>0.71</v>
      </c>
      <c r="H424" s="28">
        <v>0</v>
      </c>
      <c r="I424" s="30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7">
        <f>0.3+60/400</f>
        <v>0.44999999999999996</v>
      </c>
      <c r="H425" s="28">
        <f t="shared" si="22"/>
        <v>95</v>
      </c>
      <c r="I425" s="30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7">
        <v>0.44</v>
      </c>
      <c r="H426" s="28">
        <f t="shared" si="22"/>
        <v>98.79999999999998</v>
      </c>
      <c r="I426" s="30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7">
        <f>0.23+73/400</f>
        <v>0.4125</v>
      </c>
      <c r="H427" s="28">
        <f t="shared" si="22"/>
        <v>109.24999999999999</v>
      </c>
      <c r="I427" s="30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7">
        <v>0.49</v>
      </c>
      <c r="H428" s="28">
        <f t="shared" si="22"/>
        <v>79.79999999999998</v>
      </c>
      <c r="I428" s="30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7">
        <v>0.39</v>
      </c>
      <c r="H429" s="28">
        <f t="shared" si="22"/>
        <v>117.79999999999997</v>
      </c>
      <c r="I429" s="30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7">
        <v>0.6</v>
      </c>
      <c r="H430" s="28">
        <f t="shared" si="22"/>
        <v>37.999999999999986</v>
      </c>
      <c r="I430" s="30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7">
        <v>0.53</v>
      </c>
      <c r="H431" s="28">
        <f t="shared" si="22"/>
        <v>64.59999999999997</v>
      </c>
      <c r="I431" s="30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7">
        <f>0.3+40/400+50/400</f>
        <v>0.525</v>
      </c>
      <c r="H432" s="28">
        <f t="shared" si="22"/>
        <v>66.49999999999997</v>
      </c>
      <c r="I432" s="30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7">
        <f>0.16+70/400</f>
        <v>0.33499999999999996</v>
      </c>
      <c r="H433" s="28">
        <f t="shared" si="22"/>
        <v>138.7</v>
      </c>
      <c r="I433" s="30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7">
        <f>0.25+62/400</f>
        <v>0.405</v>
      </c>
      <c r="H434" s="28">
        <f t="shared" si="22"/>
        <v>112.09999999999998</v>
      </c>
      <c r="I434" s="30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7">
        <v>0.32</v>
      </c>
      <c r="H435" s="28">
        <f t="shared" si="22"/>
        <v>144.39999999999998</v>
      </c>
      <c r="I435" s="30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7">
        <f>0.24+36/400</f>
        <v>0.32999999999999996</v>
      </c>
      <c r="H436" s="28">
        <f t="shared" si="22"/>
        <v>140.6</v>
      </c>
      <c r="I436" s="30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7">
        <v>0.29</v>
      </c>
      <c r="H437" s="28">
        <f t="shared" si="22"/>
        <v>155.79999999999998</v>
      </c>
      <c r="I437" s="30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7">
        <v>0.6</v>
      </c>
      <c r="H438" s="28">
        <f t="shared" si="22"/>
        <v>37.999999999999986</v>
      </c>
      <c r="I438" s="30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7">
        <f>0.15+85/400</f>
        <v>0.3625</v>
      </c>
      <c r="H439" s="28">
        <f t="shared" si="22"/>
        <v>128.24999999999997</v>
      </c>
      <c r="I439" s="30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7">
        <v>0.62</v>
      </c>
      <c r="H440" s="28">
        <f t="shared" si="22"/>
        <v>18.99999999999999</v>
      </c>
      <c r="I440" s="30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7">
        <v>0.29</v>
      </c>
      <c r="H441" s="28">
        <f aca="true" t="shared" si="23" ref="H441:H504">0.95*(0.7-G441)*F441</f>
        <v>97.37499999999999</v>
      </c>
      <c r="I441" s="30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7">
        <v>0.57</v>
      </c>
      <c r="H442" s="28">
        <f t="shared" si="23"/>
        <v>49.4</v>
      </c>
      <c r="I442" s="30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7">
        <v>0.4</v>
      </c>
      <c r="H443" s="28">
        <f t="shared" si="23"/>
        <v>71.24999999999999</v>
      </c>
      <c r="I443" s="30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7">
        <v>0.57</v>
      </c>
      <c r="H444" s="28">
        <f t="shared" si="23"/>
        <v>49.4</v>
      </c>
      <c r="I444" s="30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7">
        <v>0.4</v>
      </c>
      <c r="H445" s="28">
        <f t="shared" si="23"/>
        <v>113.99999999999997</v>
      </c>
      <c r="I445" s="30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7">
        <f>0.35+70/630</f>
        <v>0.4611111111111111</v>
      </c>
      <c r="H446" s="28">
        <f t="shared" si="23"/>
        <v>142.975</v>
      </c>
      <c r="I446" s="30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7">
        <f>0.42+50/630</f>
        <v>0.49936507936507935</v>
      </c>
      <c r="H447" s="28">
        <f t="shared" si="23"/>
        <v>120.07999999999998</v>
      </c>
      <c r="I447" s="30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7">
        <f>0.4+40/630</f>
        <v>0.4634920634920635</v>
      </c>
      <c r="H448" s="28">
        <f t="shared" si="23"/>
        <v>141.54999999999995</v>
      </c>
      <c r="I448" s="30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7">
        <v>0.36</v>
      </c>
      <c r="H449" s="28">
        <f t="shared" si="23"/>
        <v>129.2</v>
      </c>
      <c r="I449" s="30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7">
        <f>0.26+150/630</f>
        <v>0.4980952380952381</v>
      </c>
      <c r="H450" s="28">
        <f>0.95*(0.7-G450)*F450</f>
        <v>120.83999999999997</v>
      </c>
      <c r="I450" s="30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7">
        <v>0.2</v>
      </c>
      <c r="H451" s="28">
        <f t="shared" si="23"/>
        <v>189.99999999999997</v>
      </c>
      <c r="I451" s="30" t="s">
        <v>518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7">
        <v>0.64</v>
      </c>
      <c r="H452" s="28">
        <f t="shared" si="23"/>
        <v>22.799999999999976</v>
      </c>
      <c r="I452" s="30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7">
        <v>0.33</v>
      </c>
      <c r="H453" s="28">
        <f t="shared" si="23"/>
        <v>140.59999999999997</v>
      </c>
      <c r="I453" s="30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7">
        <v>0.28</v>
      </c>
      <c r="H454" s="28">
        <f t="shared" si="23"/>
        <v>159.59999999999997</v>
      </c>
      <c r="I454" s="30" t="s">
        <v>518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7">
        <v>0.52</v>
      </c>
      <c r="H455" s="28">
        <f t="shared" si="23"/>
        <v>107.72999999999996</v>
      </c>
      <c r="I455" s="30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7">
        <v>0.59</v>
      </c>
      <c r="H456" s="28">
        <f t="shared" si="23"/>
        <v>41.79999999999999</v>
      </c>
      <c r="I456" s="30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7">
        <f>0.1+60/400</f>
        <v>0.25</v>
      </c>
      <c r="H457" s="28">
        <f t="shared" si="23"/>
        <v>170.99999999999997</v>
      </c>
      <c r="I457" s="32" t="s">
        <v>518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7">
        <f>0.22+15/400</f>
        <v>0.2575</v>
      </c>
      <c r="H458" s="28">
        <f t="shared" si="23"/>
        <v>168.14999999999998</v>
      </c>
      <c r="I458" s="33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7">
        <f>0.42+40/400</f>
        <v>0.52</v>
      </c>
      <c r="H459" s="28">
        <f t="shared" si="23"/>
        <v>68.39999999999998</v>
      </c>
      <c r="I459" s="30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7">
        <v>0.46</v>
      </c>
      <c r="H460" s="28">
        <f t="shared" si="23"/>
        <v>91.19999999999997</v>
      </c>
      <c r="I460" s="30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7">
        <f>0.26+120/630</f>
        <v>0.4504761904761905</v>
      </c>
      <c r="H461" s="28">
        <f t="shared" si="23"/>
        <v>149.33999999999997</v>
      </c>
      <c r="I461" s="30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7">
        <f>0.35+90/630</f>
        <v>0.4928571428571428</v>
      </c>
      <c r="H462" s="28">
        <f t="shared" si="23"/>
        <v>123.97499999999998</v>
      </c>
      <c r="I462" s="30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7">
        <v>0.73</v>
      </c>
      <c r="H463" s="28">
        <v>0</v>
      </c>
      <c r="I463" s="30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7">
        <f>0.43+50/400</f>
        <v>0.5549999999999999</v>
      </c>
      <c r="H464" s="28">
        <f t="shared" si="23"/>
        <v>55.1</v>
      </c>
      <c r="I464" s="30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7">
        <v>0.54</v>
      </c>
      <c r="H465" s="28">
        <f t="shared" si="23"/>
        <v>95.75999999999995</v>
      </c>
      <c r="I465" s="30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7">
        <f>0.43+50/630</f>
        <v>0.5093650793650794</v>
      </c>
      <c r="H466" s="28">
        <f t="shared" si="23"/>
        <v>114.09499999999998</v>
      </c>
      <c r="I466" s="30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7">
        <v>0.83</v>
      </c>
      <c r="H467" s="28">
        <v>0</v>
      </c>
      <c r="I467" s="30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7">
        <f>0.39+150/630</f>
        <v>0.628095238095238</v>
      </c>
      <c r="H468" s="28">
        <f t="shared" si="23"/>
        <v>43.035000000000004</v>
      </c>
      <c r="I468" s="30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7">
        <f>0.08+100/400</f>
        <v>0.33</v>
      </c>
      <c r="H469" s="28">
        <f t="shared" si="23"/>
        <v>140.59999999999997</v>
      </c>
      <c r="I469" s="30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7">
        <v>0.52</v>
      </c>
      <c r="H470" s="28">
        <f t="shared" si="23"/>
        <v>68.39999999999998</v>
      </c>
      <c r="I470" s="30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7">
        <f>0.32+100/630</f>
        <v>0.47873015873015873</v>
      </c>
      <c r="H471" s="28">
        <f t="shared" si="23"/>
        <v>132.42999999999995</v>
      </c>
      <c r="I471" s="30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7">
        <f>0.42+50/630</f>
        <v>0.49936507936507935</v>
      </c>
      <c r="H472" s="28">
        <f t="shared" si="23"/>
        <v>120.07999999999998</v>
      </c>
      <c r="I472" s="30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7">
        <f>0.22+70/400</f>
        <v>0.395</v>
      </c>
      <c r="H473" s="28">
        <f t="shared" si="23"/>
        <v>115.89999999999998</v>
      </c>
      <c r="I473" s="30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7">
        <v>0.66</v>
      </c>
      <c r="H474" s="28">
        <f t="shared" si="23"/>
        <v>15.199999999999973</v>
      </c>
      <c r="I474" s="30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7">
        <v>0.43</v>
      </c>
      <c r="H475" s="28">
        <f t="shared" si="23"/>
        <v>102.59999999999998</v>
      </c>
      <c r="I475" s="30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7">
        <f>0.27+100/400</f>
        <v>0.52</v>
      </c>
      <c r="H476" s="28">
        <f t="shared" si="23"/>
        <v>68.39999999999998</v>
      </c>
      <c r="I476" s="30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7">
        <v>0.46</v>
      </c>
      <c r="H477" s="28">
        <f t="shared" si="23"/>
        <v>91.19999999999997</v>
      </c>
      <c r="I477" s="30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7">
        <f>0.13+190/630</f>
        <v>0.4315873015873016</v>
      </c>
      <c r="H478" s="28">
        <f>0.95*(0.7-G478)*F478</f>
        <v>160.64499999999995</v>
      </c>
      <c r="I478" s="30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7">
        <f>0.14+150/400</f>
        <v>0.515</v>
      </c>
      <c r="H479" s="28">
        <f t="shared" si="23"/>
        <v>70.29999999999997</v>
      </c>
      <c r="I479" s="32" t="s">
        <v>518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7">
        <f>0.3+120/400</f>
        <v>0.6</v>
      </c>
      <c r="H480" s="28">
        <f t="shared" si="23"/>
        <v>37.999999999999986</v>
      </c>
      <c r="I480" s="33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7">
        <v>0.5</v>
      </c>
      <c r="H481" s="28">
        <f t="shared" si="23"/>
        <v>75.99999999999997</v>
      </c>
      <c r="I481" s="30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7">
        <v>0.49</v>
      </c>
      <c r="H482" s="28">
        <f t="shared" si="23"/>
        <v>79.79999999999998</v>
      </c>
      <c r="I482" s="30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7">
        <f>0.22+90/400</f>
        <v>0.445</v>
      </c>
      <c r="H483" s="28">
        <f t="shared" si="23"/>
        <v>96.89999999999998</v>
      </c>
      <c r="I483" s="30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7">
        <v>0.64</v>
      </c>
      <c r="H484" s="28">
        <f t="shared" si="23"/>
        <v>22.799999999999976</v>
      </c>
      <c r="I484" s="30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7">
        <v>0.56</v>
      </c>
      <c r="H485" s="28">
        <f t="shared" si="23"/>
        <v>53.19999999999996</v>
      </c>
      <c r="I485" s="30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7">
        <v>0.55</v>
      </c>
      <c r="H486" s="28">
        <f t="shared" si="23"/>
        <v>56.999999999999964</v>
      </c>
      <c r="I486" s="30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7">
        <f>0.21+50/400</f>
        <v>0.33499999999999996</v>
      </c>
      <c r="H487" s="28">
        <f t="shared" si="23"/>
        <v>138.7</v>
      </c>
      <c r="I487" s="30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7">
        <f>0.31+50/400</f>
        <v>0.435</v>
      </c>
      <c r="H488" s="28">
        <f t="shared" si="23"/>
        <v>100.69999999999999</v>
      </c>
      <c r="I488" s="30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7">
        <v>0.47</v>
      </c>
      <c r="H489" s="28">
        <f t="shared" si="23"/>
        <v>87.39999999999999</v>
      </c>
      <c r="I489" s="30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7">
        <f>0.35+150/630</f>
        <v>0.588095238095238</v>
      </c>
      <c r="H490" s="28">
        <f t="shared" si="23"/>
        <v>66.97500000000002</v>
      </c>
      <c r="I490" s="30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7">
        <v>0.45</v>
      </c>
      <c r="H491" s="28">
        <f t="shared" si="23"/>
        <v>94.99999999999997</v>
      </c>
      <c r="I491" s="30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7">
        <v>0.42</v>
      </c>
      <c r="H492" s="28">
        <f t="shared" si="23"/>
        <v>106.39999999999998</v>
      </c>
      <c r="I492" s="30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7">
        <f>0.41+15/400</f>
        <v>0.44749999999999995</v>
      </c>
      <c r="H493" s="28">
        <f t="shared" si="23"/>
        <v>95.94999999999999</v>
      </c>
      <c r="I493" s="30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7">
        <v>0.71</v>
      </c>
      <c r="H494" s="28">
        <v>0</v>
      </c>
      <c r="I494" s="30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7">
        <v>0.35</v>
      </c>
      <c r="H495" s="28">
        <f t="shared" si="23"/>
        <v>132.99999999999997</v>
      </c>
      <c r="I495" s="30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7">
        <v>0.81</v>
      </c>
      <c r="H496" s="28">
        <v>0</v>
      </c>
      <c r="I496" s="30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7">
        <f>0.26+60/400</f>
        <v>0.41000000000000003</v>
      </c>
      <c r="H497" s="28">
        <f t="shared" si="23"/>
        <v>110.19999999999996</v>
      </c>
      <c r="I497" s="30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7">
        <v>0.46</v>
      </c>
      <c r="H498" s="28">
        <f t="shared" si="23"/>
        <v>91.19999999999997</v>
      </c>
      <c r="I498" s="30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7">
        <f>0.26+120/400</f>
        <v>0.56</v>
      </c>
      <c r="H499" s="28">
        <f t="shared" si="23"/>
        <v>53.19999999999996</v>
      </c>
      <c r="I499" s="30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7">
        <v>0.64</v>
      </c>
      <c r="H500" s="28">
        <f t="shared" si="23"/>
        <v>22.799999999999976</v>
      </c>
      <c r="I500" s="30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7">
        <v>0.88</v>
      </c>
      <c r="H501" s="28">
        <v>0</v>
      </c>
      <c r="I501" s="30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7">
        <f>0.25+70/400</f>
        <v>0.425</v>
      </c>
      <c r="H502" s="28">
        <f t="shared" si="23"/>
        <v>104.5</v>
      </c>
      <c r="I502" s="30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7">
        <v>0.76</v>
      </c>
      <c r="H503" s="28">
        <v>0</v>
      </c>
      <c r="I503" s="30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7">
        <v>0.66</v>
      </c>
      <c r="H504" s="28">
        <f t="shared" si="23"/>
        <v>15.199999999999973</v>
      </c>
      <c r="I504" s="30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7">
        <v>0.73</v>
      </c>
      <c r="H505" s="28">
        <v>0</v>
      </c>
      <c r="I505" s="30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7">
        <f>0.3+50/400</f>
        <v>0.425</v>
      </c>
      <c r="H506" s="28">
        <f aca="true" t="shared" si="24" ref="H506:H569">0.95*(0.7-G506)*F506</f>
        <v>104.5</v>
      </c>
      <c r="I506" s="30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7">
        <v>0.88</v>
      </c>
      <c r="H507" s="28">
        <v>0</v>
      </c>
      <c r="I507" s="30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7">
        <f>0.16+60/400+15/400</f>
        <v>0.3475</v>
      </c>
      <c r="H508" s="28">
        <f t="shared" si="24"/>
        <v>133.95</v>
      </c>
      <c r="I508" s="30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7">
        <f>0.23+190/630</f>
        <v>0.5315873015873016</v>
      </c>
      <c r="H509" s="28">
        <f t="shared" si="24"/>
        <v>100.79499999999996</v>
      </c>
      <c r="I509" s="30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7">
        <f>0.28+100/630</f>
        <v>0.43873015873015875</v>
      </c>
      <c r="H510" s="28">
        <f t="shared" si="24"/>
        <v>156.36999999999995</v>
      </c>
      <c r="I510" s="30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7">
        <v>0.62</v>
      </c>
      <c r="H511" s="28">
        <f t="shared" si="24"/>
        <v>30.399999999999984</v>
      </c>
      <c r="I511" s="30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7">
        <v>0.67</v>
      </c>
      <c r="H512" s="28">
        <f t="shared" si="24"/>
        <v>11.399999999999967</v>
      </c>
      <c r="I512" s="30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7">
        <f>0.33+50/400</f>
        <v>0.455</v>
      </c>
      <c r="H513" s="28">
        <f t="shared" si="24"/>
        <v>93.09999999999997</v>
      </c>
      <c r="I513" s="30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7">
        <f>0.42+50/630</f>
        <v>0.49936507936507935</v>
      </c>
      <c r="H514" s="28">
        <f t="shared" si="24"/>
        <v>120.07999999999998</v>
      </c>
      <c r="I514" s="30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7">
        <v>0.67</v>
      </c>
      <c r="H515" s="28">
        <f t="shared" si="24"/>
        <v>11.399999999999967</v>
      </c>
      <c r="I515" s="30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7">
        <v>0.29</v>
      </c>
      <c r="H516" s="28">
        <f t="shared" si="24"/>
        <v>155.79999999999998</v>
      </c>
      <c r="I516" s="30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7">
        <f>0.23+50/400</f>
        <v>0.355</v>
      </c>
      <c r="H517" s="28">
        <f>0.95*(0.7-G517)*F517</f>
        <v>131.1</v>
      </c>
      <c r="I517" s="30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7">
        <f>0.1+95/400</f>
        <v>0.3375</v>
      </c>
      <c r="H518" s="28">
        <f t="shared" si="24"/>
        <v>137.74999999999997</v>
      </c>
      <c r="I518" s="30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7">
        <v>0.86</v>
      </c>
      <c r="H519" s="28">
        <v>0</v>
      </c>
      <c r="I519" s="30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7">
        <v>0.29</v>
      </c>
      <c r="H520" s="28">
        <f t="shared" si="24"/>
        <v>97.37499999999999</v>
      </c>
      <c r="I520" s="30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7">
        <v>0.63</v>
      </c>
      <c r="H521" s="28">
        <f t="shared" si="24"/>
        <v>26.59999999999998</v>
      </c>
      <c r="I521" s="30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7">
        <v>0.61</v>
      </c>
      <c r="H522" s="28">
        <f t="shared" si="24"/>
        <v>34.19999999999999</v>
      </c>
      <c r="I522" s="30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7">
        <f>0.43+30/630</f>
        <v>0.4776190476190476</v>
      </c>
      <c r="H523" s="28">
        <f t="shared" si="24"/>
        <v>133.09499999999997</v>
      </c>
      <c r="I523" s="30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7">
        <f>0.31+90/630</f>
        <v>0.45285714285714285</v>
      </c>
      <c r="H524" s="28">
        <f t="shared" si="24"/>
        <v>147.91499999999996</v>
      </c>
      <c r="I524" s="30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7">
        <v>0.42</v>
      </c>
      <c r="H525" s="28">
        <f t="shared" si="24"/>
        <v>106.39999999999998</v>
      </c>
      <c r="I525" s="30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7">
        <f>0.28+40/400</f>
        <v>0.38</v>
      </c>
      <c r="H526" s="28">
        <f t="shared" si="24"/>
        <v>121.59999999999998</v>
      </c>
      <c r="I526" s="30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7">
        <f>0.16+50/250</f>
        <v>0.36</v>
      </c>
      <c r="H527" s="28">
        <f t="shared" si="24"/>
        <v>80.74999999999999</v>
      </c>
      <c r="I527" s="30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7">
        <f>0.18+50/250</f>
        <v>0.38</v>
      </c>
      <c r="H528" s="28">
        <f t="shared" si="24"/>
        <v>75.99999999999999</v>
      </c>
      <c r="I528" s="30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7">
        <v>0.79</v>
      </c>
      <c r="H529" s="28">
        <v>0</v>
      </c>
      <c r="I529" s="30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7">
        <f>0.15+70/400</f>
        <v>0.32499999999999996</v>
      </c>
      <c r="H530" s="28">
        <f t="shared" si="24"/>
        <v>142.49999999999997</v>
      </c>
      <c r="I530" s="30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7">
        <f>0.21+50/400</f>
        <v>0.33499999999999996</v>
      </c>
      <c r="H531" s="28">
        <f t="shared" si="24"/>
        <v>138.7</v>
      </c>
      <c r="I531" s="30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7">
        <v>0.69</v>
      </c>
      <c r="H532" s="28">
        <f t="shared" si="24"/>
        <v>3.8000000000000034</v>
      </c>
      <c r="I532" s="30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7">
        <v>0.41</v>
      </c>
      <c r="H533" s="28">
        <f t="shared" si="24"/>
        <v>110.19999999999999</v>
      </c>
      <c r="I533" s="30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7">
        <v>0.51</v>
      </c>
      <c r="H534" s="28">
        <f t="shared" si="24"/>
        <v>72.19999999999997</v>
      </c>
      <c r="I534" s="30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7">
        <v>0.51</v>
      </c>
      <c r="H535" s="28">
        <f t="shared" si="24"/>
        <v>72.19999999999997</v>
      </c>
      <c r="I535" s="30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7">
        <v>0.69</v>
      </c>
      <c r="H536" s="28">
        <f t="shared" si="24"/>
        <v>3.8000000000000034</v>
      </c>
      <c r="I536" s="30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7">
        <v>0.62</v>
      </c>
      <c r="H537" s="28">
        <f t="shared" si="24"/>
        <v>30.399999999999984</v>
      </c>
      <c r="I537" s="30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7">
        <f>0.01+150/400</f>
        <v>0.385</v>
      </c>
      <c r="H538" s="28">
        <f t="shared" si="24"/>
        <v>119.69999999999999</v>
      </c>
      <c r="I538" s="30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7">
        <v>0.57</v>
      </c>
      <c r="H539" s="28">
        <f t="shared" si="24"/>
        <v>19.759999999999998</v>
      </c>
      <c r="I539" s="32" t="s">
        <v>518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7">
        <f>0.15+40/250+45/250</f>
        <v>0.49</v>
      </c>
      <c r="H540" s="28">
        <f t="shared" si="24"/>
        <v>49.874999999999986</v>
      </c>
      <c r="I540" s="33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7">
        <v>0.65</v>
      </c>
      <c r="H541" s="28">
        <f t="shared" si="24"/>
        <v>18.99999999999997</v>
      </c>
      <c r="I541" s="30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7">
        <v>0.42</v>
      </c>
      <c r="H542" s="28">
        <f t="shared" si="24"/>
        <v>106.39999999999998</v>
      </c>
      <c r="I542" s="30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7">
        <f>0.15+200/630+80/630</f>
        <v>0.5944444444444444</v>
      </c>
      <c r="H543" s="28">
        <f t="shared" si="24"/>
        <v>63.17499999999997</v>
      </c>
      <c r="I543" s="30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7">
        <f>0.49+70/630</f>
        <v>0.6011111111111112</v>
      </c>
      <c r="H544" s="28">
        <f t="shared" si="24"/>
        <v>59.184999999999945</v>
      </c>
      <c r="I544" s="30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7">
        <v>0.42</v>
      </c>
      <c r="H545" s="28">
        <f t="shared" si="24"/>
        <v>106.39999999999998</v>
      </c>
      <c r="I545" s="30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7">
        <f>0.27+40/400</f>
        <v>0.37</v>
      </c>
      <c r="H546" s="28">
        <f t="shared" si="24"/>
        <v>125.39999999999998</v>
      </c>
      <c r="I546" s="30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7">
        <f>0.4+50/630</f>
        <v>0.4793650793650794</v>
      </c>
      <c r="H547" s="28">
        <f t="shared" si="24"/>
        <v>132.04999999999995</v>
      </c>
      <c r="I547" s="30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7">
        <f>0.4+50/630</f>
        <v>0.4793650793650794</v>
      </c>
      <c r="H548" s="28">
        <f t="shared" si="24"/>
        <v>132.04999999999995</v>
      </c>
      <c r="I548" s="30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7">
        <f>0.1+90/400</f>
        <v>0.325</v>
      </c>
      <c r="H549" s="28">
        <f t="shared" si="24"/>
        <v>142.49999999999997</v>
      </c>
      <c r="I549" s="30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7">
        <v>0.75</v>
      </c>
      <c r="H550" s="28">
        <v>0</v>
      </c>
      <c r="I550" s="30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7">
        <v>0.38</v>
      </c>
      <c r="H551" s="28">
        <f t="shared" si="24"/>
        <v>121.59999999999998</v>
      </c>
      <c r="I551" s="30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7">
        <f>0.28+70/400</f>
        <v>0.455</v>
      </c>
      <c r="H552" s="28">
        <f t="shared" si="24"/>
        <v>93.09999999999997</v>
      </c>
      <c r="I552" s="30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7">
        <f>0.89+15/250</f>
        <v>0.95</v>
      </c>
      <c r="H553" s="28">
        <v>0</v>
      </c>
      <c r="I553" s="30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7">
        <f>0.36+30/400</f>
        <v>0.435</v>
      </c>
      <c r="H554" s="28">
        <f t="shared" si="24"/>
        <v>100.69999999999999</v>
      </c>
      <c r="I554" s="30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7">
        <f>0.19+150/400</f>
        <v>0.565</v>
      </c>
      <c r="H555" s="28">
        <f t="shared" si="24"/>
        <v>51.300000000000004</v>
      </c>
      <c r="I555" s="30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7">
        <f>0.24+120/400</f>
        <v>0.54</v>
      </c>
      <c r="H556" s="28">
        <f t="shared" si="24"/>
        <v>60.79999999999997</v>
      </c>
      <c r="I556" s="30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7">
        <f>0.42+100/400</f>
        <v>0.6699999999999999</v>
      </c>
      <c r="H557" s="28">
        <f t="shared" si="24"/>
        <v>11.40000000000001</v>
      </c>
      <c r="I557" s="30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7">
        <v>0.64</v>
      </c>
      <c r="H558" s="28">
        <f t="shared" si="24"/>
        <v>35.90999999999996</v>
      </c>
      <c r="I558" s="30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7">
        <f>0.48+82/630</f>
        <v>0.6101587301587301</v>
      </c>
      <c r="H559" s="28">
        <f t="shared" si="24"/>
        <v>53.769999999999996</v>
      </c>
      <c r="I559" s="30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7">
        <f>0.26+150/630</f>
        <v>0.4980952380952381</v>
      </c>
      <c r="H560" s="28">
        <f t="shared" si="24"/>
        <v>120.83999999999997</v>
      </c>
      <c r="I560" s="30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7">
        <f>0.42+40/630</f>
        <v>0.4834920634920635</v>
      </c>
      <c r="H561" s="28">
        <f t="shared" si="24"/>
        <v>129.57999999999998</v>
      </c>
      <c r="I561" s="30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7">
        <v>0.61</v>
      </c>
      <c r="H562" s="28">
        <f t="shared" si="24"/>
        <v>53.86499999999998</v>
      </c>
      <c r="I562" s="30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7">
        <f>0.41+40/500</f>
        <v>0.49</v>
      </c>
      <c r="H563" s="28">
        <f t="shared" si="24"/>
        <v>99.74999999999997</v>
      </c>
      <c r="I563" s="30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7">
        <v>0.5</v>
      </c>
      <c r="H564" s="28">
        <f t="shared" si="24"/>
        <v>119.69999999999996</v>
      </c>
      <c r="I564" s="30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7">
        <v>0.45</v>
      </c>
      <c r="H565" s="28">
        <f t="shared" si="24"/>
        <v>149.62499999999997</v>
      </c>
      <c r="I565" s="30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7">
        <v>0.68</v>
      </c>
      <c r="H566" s="28">
        <f t="shared" si="24"/>
        <v>7.599999999999964</v>
      </c>
      <c r="I566" s="30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7">
        <f>0.37+50/400</f>
        <v>0.495</v>
      </c>
      <c r="H567" s="28">
        <f t="shared" si="24"/>
        <v>77.89999999999998</v>
      </c>
      <c r="I567" s="30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7">
        <f>0.12+85/400</f>
        <v>0.3325</v>
      </c>
      <c r="H568" s="28">
        <f t="shared" si="24"/>
        <v>139.64999999999998</v>
      </c>
      <c r="I568" s="30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7">
        <f>0.12+100/400</f>
        <v>0.37</v>
      </c>
      <c r="H569" s="28">
        <f t="shared" si="24"/>
        <v>125.39999999999998</v>
      </c>
      <c r="I569" s="30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7">
        <v>0.52</v>
      </c>
      <c r="H570" s="28">
        <f aca="true" t="shared" si="25" ref="H570:H633">0.95*(0.7-G570)*F570</f>
        <v>68.39999999999998</v>
      </c>
      <c r="I570" s="30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7">
        <v>0.53</v>
      </c>
      <c r="H571" s="28">
        <f t="shared" si="25"/>
        <v>101.74499999999995</v>
      </c>
      <c r="I571" s="30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7">
        <f>0.18+200/630</f>
        <v>0.49746031746031744</v>
      </c>
      <c r="H572" s="28">
        <f t="shared" si="25"/>
        <v>121.21999999999998</v>
      </c>
      <c r="I572" s="30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7">
        <f>0.46+90/630</f>
        <v>0.6028571428571429</v>
      </c>
      <c r="H573" s="28">
        <f t="shared" si="25"/>
        <v>58.13999999999996</v>
      </c>
      <c r="I573" s="30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7">
        <f>0.52+40/630</f>
        <v>0.5834920634920635</v>
      </c>
      <c r="H574" s="28">
        <f t="shared" si="25"/>
        <v>69.72999999999996</v>
      </c>
      <c r="I574" s="30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7">
        <f>0.34+50/400</f>
        <v>0.465</v>
      </c>
      <c r="H575" s="28">
        <f t="shared" si="25"/>
        <v>89.29999999999997</v>
      </c>
      <c r="I575" s="30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7">
        <v>0.47</v>
      </c>
      <c r="H576" s="28">
        <f t="shared" si="25"/>
        <v>87.39999999999999</v>
      </c>
      <c r="I576" s="30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7">
        <v>0.62</v>
      </c>
      <c r="H577" s="28">
        <f t="shared" si="25"/>
        <v>30.399999999999984</v>
      </c>
      <c r="I577" s="30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7">
        <f>0.4+50/400</f>
        <v>0.525</v>
      </c>
      <c r="H578" s="28">
        <f t="shared" si="25"/>
        <v>66.49999999999997</v>
      </c>
      <c r="I578" s="30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7">
        <v>0.7</v>
      </c>
      <c r="H579" s="28">
        <f t="shared" si="25"/>
        <v>0</v>
      </c>
      <c r="I579" s="30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7">
        <v>0.7</v>
      </c>
      <c r="H580" s="28">
        <f t="shared" si="25"/>
        <v>0</v>
      </c>
      <c r="I580" s="30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7">
        <v>0.53</v>
      </c>
      <c r="H581" s="28">
        <f t="shared" si="25"/>
        <v>64.59999999999997</v>
      </c>
      <c r="I581" s="30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7">
        <f>0.45+50/400</f>
        <v>0.575</v>
      </c>
      <c r="H582" s="28">
        <f t="shared" si="25"/>
        <v>47.5</v>
      </c>
      <c r="I582" s="30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7">
        <f>0.29+120/630</f>
        <v>0.48047619047619045</v>
      </c>
      <c r="H583" s="28">
        <f t="shared" si="25"/>
        <v>131.385</v>
      </c>
      <c r="I583" s="30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7">
        <v>0.4</v>
      </c>
      <c r="H584" s="28">
        <f t="shared" si="25"/>
        <v>113.99999999999997</v>
      </c>
      <c r="I584" s="30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7">
        <f>0.13+80/400</f>
        <v>0.33</v>
      </c>
      <c r="H585" s="28">
        <f t="shared" si="25"/>
        <v>140.59999999999997</v>
      </c>
      <c r="I585" s="30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7">
        <f>0.15+75/400</f>
        <v>0.3375</v>
      </c>
      <c r="H586" s="28">
        <f t="shared" si="25"/>
        <v>137.74999999999997</v>
      </c>
      <c r="I586" s="30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7">
        <v>0.65</v>
      </c>
      <c r="H587" s="28">
        <f t="shared" si="25"/>
        <v>18.99999999999997</v>
      </c>
      <c r="I587" s="30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7">
        <f>0.32+40/400+15/400</f>
        <v>0.4575</v>
      </c>
      <c r="H588" s="28">
        <f t="shared" si="25"/>
        <v>92.14999999999998</v>
      </c>
      <c r="I588" s="30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7">
        <f>0.31+350/1000</f>
        <v>0.6599999999999999</v>
      </c>
      <c r="H589" s="28">
        <f t="shared" si="25"/>
        <v>38.000000000000036</v>
      </c>
      <c r="I589" s="30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7">
        <f>0.34+350/1000</f>
        <v>0.69</v>
      </c>
      <c r="H590" s="28">
        <f t="shared" si="25"/>
        <v>9.500000000000009</v>
      </c>
      <c r="I590" s="30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7">
        <f>0.17+150/400</f>
        <v>0.545</v>
      </c>
      <c r="H591" s="28">
        <f t="shared" si="25"/>
        <v>58.89999999999996</v>
      </c>
      <c r="I591" s="30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7">
        <f>0.46+40/400</f>
        <v>0.56</v>
      </c>
      <c r="H592" s="28">
        <f t="shared" si="25"/>
        <v>53.19999999999996</v>
      </c>
      <c r="I592" s="30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7">
        <f>0.3+150/630</f>
        <v>0.5380952380952381</v>
      </c>
      <c r="H593" s="28">
        <f t="shared" si="25"/>
        <v>96.89999999999999</v>
      </c>
      <c r="I593" s="30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7">
        <f>0.23+150/630</f>
        <v>0.4680952380952381</v>
      </c>
      <c r="H594" s="28">
        <f t="shared" si="25"/>
        <v>138.79499999999996</v>
      </c>
      <c r="I594" s="30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7">
        <f>0.28+(112+195)/630</f>
        <v>0.7673015873015874</v>
      </c>
      <c r="H595" s="28">
        <v>0</v>
      </c>
      <c r="I595" s="30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7">
        <v>0.71</v>
      </c>
      <c r="H596" s="28">
        <v>0</v>
      </c>
      <c r="I596" s="30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7">
        <f>0.62+45/400</f>
        <v>0.7325</v>
      </c>
      <c r="H597" s="28">
        <v>0</v>
      </c>
      <c r="I597" s="30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7">
        <v>0.8</v>
      </c>
      <c r="H598" s="28">
        <v>0</v>
      </c>
      <c r="I598" s="30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7">
        <v>0.74</v>
      </c>
      <c r="H599" s="28">
        <v>0</v>
      </c>
      <c r="I599" s="30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7">
        <f>0.29+90/630</f>
        <v>0.43285714285714283</v>
      </c>
      <c r="H600" s="28">
        <f t="shared" si="25"/>
        <v>159.885</v>
      </c>
      <c r="I600" s="30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7">
        <f>0.39+50/630</f>
        <v>0.4693650793650794</v>
      </c>
      <c r="H601" s="28">
        <f t="shared" si="25"/>
        <v>138.03499999999997</v>
      </c>
      <c r="I601" s="30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7">
        <f>0.35+70/630</f>
        <v>0.4611111111111111</v>
      </c>
      <c r="H602" s="28">
        <f t="shared" si="25"/>
        <v>142.975</v>
      </c>
      <c r="I602" s="30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7">
        <f>0.38+50/630</f>
        <v>0.45936507936507937</v>
      </c>
      <c r="H603" s="28">
        <f t="shared" si="25"/>
        <v>144.01999999999998</v>
      </c>
      <c r="I603" s="30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7">
        <v>0.63</v>
      </c>
      <c r="H604" s="28">
        <f t="shared" si="25"/>
        <v>26.59999999999998</v>
      </c>
      <c r="I604" s="30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7">
        <v>0.5</v>
      </c>
      <c r="H605" s="28">
        <f t="shared" si="25"/>
        <v>47.499999999999986</v>
      </c>
      <c r="I605" s="30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7">
        <v>0.86</v>
      </c>
      <c r="H606" s="28">
        <v>0</v>
      </c>
      <c r="I606" s="30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7">
        <v>0.62</v>
      </c>
      <c r="H607" s="28">
        <f t="shared" si="25"/>
        <v>30.399999999999984</v>
      </c>
      <c r="I607" s="30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7">
        <f>0.31+90/630</f>
        <v>0.45285714285714285</v>
      </c>
      <c r="H608" s="28">
        <f t="shared" si="25"/>
        <v>147.91499999999996</v>
      </c>
      <c r="I608" s="30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7">
        <f>0.4+100/630</f>
        <v>0.5587301587301587</v>
      </c>
      <c r="H609" s="28">
        <f t="shared" si="25"/>
        <v>84.54999999999995</v>
      </c>
      <c r="I609" s="30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7">
        <v>0.62</v>
      </c>
      <c r="H610" s="28">
        <f t="shared" si="25"/>
        <v>18.99999999999999</v>
      </c>
      <c r="I610" s="30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7">
        <f>0.38+130/630</f>
        <v>0.5863492063492064</v>
      </c>
      <c r="H611" s="28">
        <f t="shared" si="25"/>
        <v>68.01999999999994</v>
      </c>
      <c r="I611" s="30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7">
        <f>0.52+70/630</f>
        <v>0.6311111111111112</v>
      </c>
      <c r="H612" s="28">
        <f t="shared" si="25"/>
        <v>41.22999999999993</v>
      </c>
      <c r="I612" s="30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7">
        <f>0.25+97/400</f>
        <v>0.4925</v>
      </c>
      <c r="H613" s="28">
        <f t="shared" si="25"/>
        <v>78.84999999999998</v>
      </c>
      <c r="I613" s="30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7">
        <v>0.614</v>
      </c>
      <c r="H614" s="28">
        <f t="shared" si="25"/>
        <v>51.47099999999998</v>
      </c>
      <c r="I614" s="30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7">
        <f>0.37+105/630</f>
        <v>0.5366666666666666</v>
      </c>
      <c r="H615" s="28">
        <f t="shared" si="25"/>
        <v>97.75499999999998</v>
      </c>
      <c r="I615" s="30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7">
        <f>0.5+75/630</f>
        <v>0.6190476190476191</v>
      </c>
      <c r="H616" s="28">
        <f t="shared" si="25"/>
        <v>48.44999999999996</v>
      </c>
      <c r="I616" s="30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7">
        <f>0.62+10/250</f>
        <v>0.66</v>
      </c>
      <c r="H617" s="28">
        <f t="shared" si="25"/>
        <v>9.499999999999982</v>
      </c>
      <c r="I617" s="30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7">
        <f>0.35+60/400</f>
        <v>0.5</v>
      </c>
      <c r="H618" s="28">
        <f t="shared" si="25"/>
        <v>75.99999999999997</v>
      </c>
      <c r="I618" s="30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7">
        <f>0.58</f>
        <v>0.58</v>
      </c>
      <c r="H619" s="28">
        <f t="shared" si="25"/>
        <v>45.599999999999994</v>
      </c>
      <c r="I619" s="30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7">
        <v>0.91</v>
      </c>
      <c r="H620" s="28">
        <v>0</v>
      </c>
      <c r="I620" s="30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7">
        <f>0.37+70/250</f>
        <v>0.65</v>
      </c>
      <c r="H621" s="28">
        <f t="shared" si="25"/>
        <v>11.874999999999982</v>
      </c>
      <c r="I621" s="30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7">
        <v>0.73</v>
      </c>
      <c r="H622" s="28">
        <v>0</v>
      </c>
      <c r="I622" s="30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7">
        <f>0.71+15/250</f>
        <v>0.77</v>
      </c>
      <c r="H623" s="28">
        <v>0</v>
      </c>
      <c r="I623" s="30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7">
        <f>0.16+85/400</f>
        <v>0.3725</v>
      </c>
      <c r="H624" s="28">
        <f t="shared" si="25"/>
        <v>124.44999999999997</v>
      </c>
      <c r="I624" s="30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7">
        <f>0.33+50/400</f>
        <v>0.455</v>
      </c>
      <c r="H625" s="28">
        <f t="shared" si="25"/>
        <v>93.09999999999997</v>
      </c>
      <c r="I625" s="30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7">
        <v>0.52</v>
      </c>
      <c r="H626" s="28">
        <f t="shared" si="25"/>
        <v>42.749999999999986</v>
      </c>
      <c r="I626" s="30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7">
        <f>0.4+40/250</f>
        <v>0.56</v>
      </c>
      <c r="H627" s="28">
        <f t="shared" si="25"/>
        <v>33.24999999999997</v>
      </c>
      <c r="I627" s="30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7">
        <v>0.41</v>
      </c>
      <c r="H628" s="28">
        <f t="shared" si="25"/>
        <v>27.549999999999997</v>
      </c>
      <c r="I628" s="30" t="s">
        <v>518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7">
        <f>0.44</f>
        <v>0.44</v>
      </c>
      <c r="H629" s="28">
        <f t="shared" si="25"/>
        <v>61.749999999999986</v>
      </c>
      <c r="I629" s="30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7">
        <f>0.12+57/250</f>
        <v>0.348</v>
      </c>
      <c r="H630" s="28">
        <f t="shared" si="25"/>
        <v>83.6</v>
      </c>
      <c r="I630" s="30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7">
        <f>0.21+120/400</f>
        <v>0.51</v>
      </c>
      <c r="H631" s="28">
        <f t="shared" si="25"/>
        <v>72.19999999999997</v>
      </c>
      <c r="I631" s="30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7">
        <f>0.35+70/400</f>
        <v>0.5249999999999999</v>
      </c>
      <c r="H632" s="28">
        <f t="shared" si="25"/>
        <v>66.50000000000001</v>
      </c>
      <c r="I632" s="30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7">
        <f>0.03+50/250</f>
        <v>0.23</v>
      </c>
      <c r="H633" s="28">
        <f t="shared" si="25"/>
        <v>111.62499999999999</v>
      </c>
      <c r="I633" s="30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7">
        <v>0.51</v>
      </c>
      <c r="H634" s="28">
        <f aca="true" t="shared" si="26" ref="H634:H696">0.95*(0.7-G634)*F634</f>
        <v>56.85749999999998</v>
      </c>
      <c r="I634" s="30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7">
        <v>0.89</v>
      </c>
      <c r="H635" s="28">
        <v>0</v>
      </c>
      <c r="I635" s="30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7">
        <v>0.92</v>
      </c>
      <c r="H636" s="28">
        <v>0</v>
      </c>
      <c r="I636" s="30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7">
        <f>0.68+18/630</f>
        <v>0.7085714285714286</v>
      </c>
      <c r="H637" s="28">
        <v>0</v>
      </c>
      <c r="I637" s="30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7">
        <v>0.69</v>
      </c>
      <c r="H638" s="28">
        <f t="shared" si="26"/>
        <v>5.985000000000006</v>
      </c>
      <c r="I638" s="30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7">
        <v>0.45</v>
      </c>
      <c r="H639" s="28">
        <f t="shared" si="26"/>
        <v>37.999999999999986</v>
      </c>
      <c r="I639" s="30" t="s">
        <v>518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7">
        <f>0.11+100/250</f>
        <v>0.51</v>
      </c>
      <c r="H640" s="28">
        <f t="shared" si="26"/>
        <v>45.124999999999986</v>
      </c>
      <c r="I640" s="30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7">
        <f>0.48+50/400</f>
        <v>0.605</v>
      </c>
      <c r="H641" s="28">
        <f t="shared" si="26"/>
        <v>36.09999999999999</v>
      </c>
      <c r="I641" s="30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7">
        <v>0.9</v>
      </c>
      <c r="H642" s="28">
        <v>0</v>
      </c>
      <c r="I642" s="30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7">
        <f>0.34+15/250</f>
        <v>0.4</v>
      </c>
      <c r="H643" s="28">
        <f t="shared" si="26"/>
        <v>71.24999999999999</v>
      </c>
      <c r="I643" s="30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7">
        <v>0.56</v>
      </c>
      <c r="H644" s="28">
        <f t="shared" si="26"/>
        <v>83.78999999999994</v>
      </c>
      <c r="I644" s="30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7">
        <f>0.33+144/630</f>
        <v>0.5585714285714286</v>
      </c>
      <c r="H645" s="28">
        <f t="shared" si="26"/>
        <v>84.64499999999995</v>
      </c>
      <c r="I645" s="30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7">
        <v>0.67</v>
      </c>
      <c r="H646" s="28">
        <f t="shared" si="26"/>
        <v>5.129999999999985</v>
      </c>
      <c r="I646" s="30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7">
        <v>0.26</v>
      </c>
      <c r="H647" s="28">
        <f t="shared" si="26"/>
        <v>104.49999999999999</v>
      </c>
      <c r="I647" s="30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7">
        <f>0.17+100/400</f>
        <v>0.42000000000000004</v>
      </c>
      <c r="H648" s="28">
        <f t="shared" si="26"/>
        <v>106.39999999999996</v>
      </c>
      <c r="I648" s="30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7">
        <v>0.46</v>
      </c>
      <c r="H649" s="28">
        <f t="shared" si="26"/>
        <v>143.63999999999996</v>
      </c>
      <c r="I649" s="30" t="s">
        <v>518</v>
      </c>
    </row>
    <row r="650" spans="1:9" ht="15">
      <c r="A650" s="26">
        <v>379</v>
      </c>
      <c r="B650" s="26" t="s">
        <v>377</v>
      </c>
      <c r="C650" s="26" t="s">
        <v>332</v>
      </c>
      <c r="D650" s="26" t="s">
        <v>3</v>
      </c>
      <c r="E650" s="26">
        <v>1</v>
      </c>
      <c r="F650" s="26">
        <v>630</v>
      </c>
      <c r="G650" s="27">
        <f>0.38+120/630</f>
        <v>0.5704761904761905</v>
      </c>
      <c r="H650" s="28">
        <f t="shared" si="26"/>
        <v>77.51999999999997</v>
      </c>
      <c r="I650" s="30" t="s">
        <v>518</v>
      </c>
    </row>
    <row r="651" spans="1:9" ht="15">
      <c r="A651" s="26">
        <v>380</v>
      </c>
      <c r="B651" s="26" t="s">
        <v>377</v>
      </c>
      <c r="C651" s="26" t="s">
        <v>433</v>
      </c>
      <c r="D651" s="26" t="s">
        <v>6</v>
      </c>
      <c r="E651" s="26">
        <v>1</v>
      </c>
      <c r="F651" s="26">
        <v>250</v>
      </c>
      <c r="G651" s="27">
        <f>0.17+50/250</f>
        <v>0.37</v>
      </c>
      <c r="H651" s="28">
        <f t="shared" si="26"/>
        <v>78.37499999999999</v>
      </c>
      <c r="I651" s="30"/>
    </row>
    <row r="652" spans="1:9" ht="15">
      <c r="A652" s="26">
        <v>381</v>
      </c>
      <c r="B652" s="26" t="s">
        <v>377</v>
      </c>
      <c r="C652" s="26" t="s">
        <v>333</v>
      </c>
      <c r="D652" s="26" t="s">
        <v>6</v>
      </c>
      <c r="E652" s="26">
        <v>1</v>
      </c>
      <c r="F652" s="26">
        <v>320</v>
      </c>
      <c r="G652" s="27">
        <v>0.5</v>
      </c>
      <c r="H652" s="28">
        <f t="shared" si="26"/>
        <v>60.79999999999998</v>
      </c>
      <c r="I652" s="32" t="s">
        <v>518</v>
      </c>
    </row>
    <row r="653" spans="1:9" ht="15">
      <c r="A653" s="26"/>
      <c r="B653" s="26" t="s">
        <v>377</v>
      </c>
      <c r="C653" s="26"/>
      <c r="D653" s="26" t="s">
        <v>6</v>
      </c>
      <c r="E653" s="26">
        <v>2</v>
      </c>
      <c r="F653" s="26">
        <v>250</v>
      </c>
      <c r="G653" s="27">
        <v>0.42</v>
      </c>
      <c r="H653" s="28">
        <f t="shared" si="26"/>
        <v>66.49999999999999</v>
      </c>
      <c r="I653" s="33"/>
    </row>
    <row r="654" spans="1:9" ht="15">
      <c r="A654" s="26">
        <v>382</v>
      </c>
      <c r="B654" s="26" t="s">
        <v>377</v>
      </c>
      <c r="C654" s="26" t="s">
        <v>334</v>
      </c>
      <c r="D654" s="26" t="s">
        <v>6</v>
      </c>
      <c r="E654" s="26">
        <v>1</v>
      </c>
      <c r="F654" s="26">
        <v>630</v>
      </c>
      <c r="G654" s="27">
        <f>0.23+200/630</f>
        <v>0.5474603174603174</v>
      </c>
      <c r="H654" s="28">
        <f t="shared" si="26"/>
        <v>91.295</v>
      </c>
      <c r="I654" s="32" t="s">
        <v>518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630</v>
      </c>
      <c r="G655" s="27">
        <f>0.27+200/630</f>
        <v>0.5874603174603175</v>
      </c>
      <c r="H655" s="28">
        <f t="shared" si="26"/>
        <v>67.35499999999996</v>
      </c>
      <c r="I655" s="33"/>
    </row>
    <row r="656" spans="1:9" ht="15">
      <c r="A656" s="26">
        <v>383</v>
      </c>
      <c r="B656" s="26" t="s">
        <v>377</v>
      </c>
      <c r="C656" s="26" t="s">
        <v>434</v>
      </c>
      <c r="D656" s="26" t="s">
        <v>3</v>
      </c>
      <c r="E656" s="26">
        <v>1</v>
      </c>
      <c r="F656" s="26">
        <v>630</v>
      </c>
      <c r="G656" s="27">
        <v>0.84</v>
      </c>
      <c r="H656" s="28">
        <v>0</v>
      </c>
      <c r="I656" s="30"/>
    </row>
    <row r="657" spans="1:9" ht="15">
      <c r="A657" s="26">
        <v>384</v>
      </c>
      <c r="B657" s="26" t="s">
        <v>377</v>
      </c>
      <c r="C657" s="26" t="s">
        <v>335</v>
      </c>
      <c r="D657" s="26" t="s">
        <v>6</v>
      </c>
      <c r="E657" s="26">
        <v>1</v>
      </c>
      <c r="F657" s="26">
        <v>250</v>
      </c>
      <c r="G657" s="27">
        <f>0.15+100/250</f>
        <v>0.55</v>
      </c>
      <c r="H657" s="28">
        <f t="shared" si="26"/>
        <v>35.62499999999998</v>
      </c>
      <c r="I657" s="32" t="s">
        <v>518</v>
      </c>
    </row>
    <row r="658" spans="1:9" ht="15">
      <c r="A658" s="26"/>
      <c r="B658" s="26" t="s">
        <v>377</v>
      </c>
      <c r="C658" s="26"/>
      <c r="D658" s="26" t="s">
        <v>6</v>
      </c>
      <c r="E658" s="26">
        <v>2</v>
      </c>
      <c r="F658" s="26">
        <v>180</v>
      </c>
      <c r="G658" s="27">
        <v>0.46</v>
      </c>
      <c r="H658" s="28">
        <f t="shared" si="26"/>
        <v>41.039999999999985</v>
      </c>
      <c r="I658" s="33"/>
    </row>
    <row r="659" spans="1:9" ht="15">
      <c r="A659" s="26">
        <v>385</v>
      </c>
      <c r="B659" s="26" t="s">
        <v>377</v>
      </c>
      <c r="C659" s="26" t="s">
        <v>435</v>
      </c>
      <c r="D659" s="26" t="s">
        <v>6</v>
      </c>
      <c r="E659" s="26">
        <v>1</v>
      </c>
      <c r="F659" s="26">
        <v>160</v>
      </c>
      <c r="G659" s="27">
        <f>0.43+25/160</f>
        <v>0.5862499999999999</v>
      </c>
      <c r="H659" s="28">
        <f t="shared" si="26"/>
        <v>17.29</v>
      </c>
      <c r="I659" s="30"/>
    </row>
    <row r="660" spans="1:9" ht="15">
      <c r="A660" s="26">
        <v>386</v>
      </c>
      <c r="B660" s="26" t="s">
        <v>377</v>
      </c>
      <c r="C660" s="26" t="s">
        <v>436</v>
      </c>
      <c r="D660" s="26" t="s">
        <v>6</v>
      </c>
      <c r="E660" s="26">
        <v>1</v>
      </c>
      <c r="F660" s="26">
        <v>250</v>
      </c>
      <c r="G660" s="27">
        <f>0.28+90/250</f>
        <v>0.64</v>
      </c>
      <c r="H660" s="28">
        <f t="shared" si="26"/>
        <v>14.249999999999986</v>
      </c>
      <c r="I660" s="30"/>
    </row>
    <row r="661" spans="1:9" ht="15">
      <c r="A661" s="26">
        <v>387</v>
      </c>
      <c r="B661" s="26" t="s">
        <v>377</v>
      </c>
      <c r="C661" s="26" t="s">
        <v>336</v>
      </c>
      <c r="D661" s="26" t="s">
        <v>3</v>
      </c>
      <c r="E661" s="26">
        <v>1</v>
      </c>
      <c r="F661" s="26">
        <v>630</v>
      </c>
      <c r="G661" s="27">
        <f>0.86+15/630</f>
        <v>0.8838095238095238</v>
      </c>
      <c r="H661" s="28">
        <v>0</v>
      </c>
      <c r="I661" s="30"/>
    </row>
    <row r="662" spans="1:9" ht="15">
      <c r="A662" s="26">
        <v>388</v>
      </c>
      <c r="B662" s="26" t="s">
        <v>377</v>
      </c>
      <c r="C662" s="26" t="s">
        <v>337</v>
      </c>
      <c r="D662" s="26" t="s">
        <v>6</v>
      </c>
      <c r="E662" s="26">
        <v>1</v>
      </c>
      <c r="F662" s="26">
        <v>630</v>
      </c>
      <c r="G662" s="27">
        <v>0.54</v>
      </c>
      <c r="H662" s="28">
        <f t="shared" si="26"/>
        <v>95.75999999999995</v>
      </c>
      <c r="I662" s="32" t="s">
        <v>518</v>
      </c>
    </row>
    <row r="663" spans="1:9" ht="15">
      <c r="A663" s="26"/>
      <c r="B663" s="26" t="s">
        <v>377</v>
      </c>
      <c r="C663" s="26"/>
      <c r="D663" s="26" t="s">
        <v>6</v>
      </c>
      <c r="E663" s="26">
        <v>2</v>
      </c>
      <c r="F663" s="26">
        <v>630</v>
      </c>
      <c r="G663" s="27">
        <v>0.66</v>
      </c>
      <c r="H663" s="28">
        <f t="shared" si="26"/>
        <v>23.939999999999955</v>
      </c>
      <c r="I663" s="33"/>
    </row>
    <row r="664" spans="1:9" ht="15">
      <c r="A664" s="26">
        <v>389</v>
      </c>
      <c r="B664" s="26" t="s">
        <v>377</v>
      </c>
      <c r="C664" s="26" t="s">
        <v>437</v>
      </c>
      <c r="D664" s="26" t="s">
        <v>3</v>
      </c>
      <c r="E664" s="26">
        <v>1</v>
      </c>
      <c r="F664" s="26">
        <v>250</v>
      </c>
      <c r="G664" s="27">
        <f>0.14+50/250</f>
        <v>0.34</v>
      </c>
      <c r="H664" s="28">
        <f t="shared" si="26"/>
        <v>85.49999999999999</v>
      </c>
      <c r="I664" s="30"/>
    </row>
    <row r="665" spans="1:9" ht="15">
      <c r="A665" s="26">
        <v>390</v>
      </c>
      <c r="B665" s="26" t="s">
        <v>377</v>
      </c>
      <c r="C665" s="26" t="s">
        <v>438</v>
      </c>
      <c r="D665" s="26" t="s">
        <v>3</v>
      </c>
      <c r="E665" s="26">
        <v>1</v>
      </c>
      <c r="F665" s="26">
        <v>400</v>
      </c>
      <c r="G665" s="27">
        <v>0.84</v>
      </c>
      <c r="H665" s="28">
        <v>0</v>
      </c>
      <c r="I665" s="30"/>
    </row>
    <row r="666" spans="1:9" ht="15">
      <c r="A666" s="26">
        <v>391</v>
      </c>
      <c r="B666" s="26" t="s">
        <v>377</v>
      </c>
      <c r="C666" s="26" t="s">
        <v>338</v>
      </c>
      <c r="D666" s="26" t="s">
        <v>3</v>
      </c>
      <c r="E666" s="26">
        <v>1</v>
      </c>
      <c r="F666" s="26">
        <v>1000</v>
      </c>
      <c r="G666" s="27">
        <f>0.07+500/1000</f>
        <v>0.5700000000000001</v>
      </c>
      <c r="H666" s="28">
        <f t="shared" si="26"/>
        <v>123.49999999999989</v>
      </c>
      <c r="I666" s="29" t="s">
        <v>518</v>
      </c>
    </row>
    <row r="667" spans="1:9" ht="15">
      <c r="A667" s="26">
        <v>392</v>
      </c>
      <c r="B667" s="26" t="s">
        <v>377</v>
      </c>
      <c r="C667" s="26" t="s">
        <v>339</v>
      </c>
      <c r="D667" s="26" t="s">
        <v>3</v>
      </c>
      <c r="E667" s="26">
        <v>1</v>
      </c>
      <c r="F667" s="26">
        <v>630</v>
      </c>
      <c r="G667" s="27">
        <f>0.08+250/630</f>
        <v>0.4768253968253968</v>
      </c>
      <c r="H667" s="28">
        <f t="shared" si="26"/>
        <v>133.56999999999996</v>
      </c>
      <c r="I667" s="29" t="s">
        <v>519</v>
      </c>
    </row>
    <row r="668" spans="1:9" ht="15">
      <c r="A668" s="26"/>
      <c r="B668" s="26" t="s">
        <v>377</v>
      </c>
      <c r="C668" s="26"/>
      <c r="D668" s="26" t="s">
        <v>3</v>
      </c>
      <c r="E668" s="26">
        <v>2</v>
      </c>
      <c r="F668" s="26">
        <v>400</v>
      </c>
      <c r="G668" s="27">
        <v>0.99</v>
      </c>
      <c r="H668" s="28">
        <v>0</v>
      </c>
      <c r="I668" s="30"/>
    </row>
    <row r="669" spans="1:9" ht="15">
      <c r="A669" s="26">
        <v>393</v>
      </c>
      <c r="B669" s="26" t="s">
        <v>377</v>
      </c>
      <c r="C669" s="26" t="s">
        <v>340</v>
      </c>
      <c r="D669" s="26" t="s">
        <v>3</v>
      </c>
      <c r="E669" s="26">
        <v>1</v>
      </c>
      <c r="F669" s="26">
        <v>630</v>
      </c>
      <c r="G669" s="27">
        <v>0.61</v>
      </c>
      <c r="H669" s="28">
        <f t="shared" si="26"/>
        <v>53.86499999999998</v>
      </c>
      <c r="I669" s="30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630</v>
      </c>
      <c r="G670" s="27">
        <f>0.36+100/630</f>
        <v>0.5187301587301587</v>
      </c>
      <c r="H670" s="28">
        <f t="shared" si="26"/>
        <v>108.48999999999998</v>
      </c>
      <c r="I670" s="30"/>
    </row>
    <row r="671" spans="1:9" ht="15">
      <c r="A671" s="26">
        <v>394</v>
      </c>
      <c r="B671" s="26" t="s">
        <v>377</v>
      </c>
      <c r="C671" s="26" t="s">
        <v>439</v>
      </c>
      <c r="D671" s="26" t="s">
        <v>6</v>
      </c>
      <c r="E671" s="26">
        <v>1</v>
      </c>
      <c r="F671" s="26">
        <v>630</v>
      </c>
      <c r="G671" s="27">
        <v>0.63</v>
      </c>
      <c r="H671" s="28">
        <f t="shared" si="26"/>
        <v>41.89499999999997</v>
      </c>
      <c r="I671" s="30"/>
    </row>
    <row r="672" spans="1:9" ht="15">
      <c r="A672" s="26">
        <v>395</v>
      </c>
      <c r="B672" s="26" t="s">
        <v>377</v>
      </c>
      <c r="C672" s="26" t="s">
        <v>341</v>
      </c>
      <c r="D672" s="26" t="s">
        <v>6</v>
      </c>
      <c r="E672" s="26">
        <v>1</v>
      </c>
      <c r="F672" s="26">
        <v>630</v>
      </c>
      <c r="G672" s="27">
        <v>0.51</v>
      </c>
      <c r="H672" s="28">
        <f t="shared" si="26"/>
        <v>113.71499999999996</v>
      </c>
      <c r="I672" s="32" t="s">
        <v>518</v>
      </c>
    </row>
    <row r="673" spans="1:9" ht="15">
      <c r="A673" s="26"/>
      <c r="B673" s="26" t="s">
        <v>377</v>
      </c>
      <c r="C673" s="26"/>
      <c r="D673" s="26" t="s">
        <v>6</v>
      </c>
      <c r="E673" s="26">
        <v>2</v>
      </c>
      <c r="F673" s="26">
        <v>630</v>
      </c>
      <c r="G673" s="27">
        <f>0.46+80/630</f>
        <v>0.5869841269841269</v>
      </c>
      <c r="H673" s="28">
        <f t="shared" si="26"/>
        <v>67.64</v>
      </c>
      <c r="I673" s="33"/>
    </row>
    <row r="674" spans="1:9" ht="15">
      <c r="A674" s="26">
        <v>396</v>
      </c>
      <c r="B674" s="26" t="s">
        <v>377</v>
      </c>
      <c r="C674" s="26" t="s">
        <v>440</v>
      </c>
      <c r="D674" s="26" t="s">
        <v>3</v>
      </c>
      <c r="E674" s="26">
        <v>1</v>
      </c>
      <c r="F674" s="26">
        <v>400</v>
      </c>
      <c r="G674" s="27">
        <v>0.69</v>
      </c>
      <c r="H674" s="28">
        <f t="shared" si="26"/>
        <v>3.8000000000000034</v>
      </c>
      <c r="I674" s="30"/>
    </row>
    <row r="675" spans="1:9" ht="15">
      <c r="A675" s="26"/>
      <c r="B675" s="26" t="s">
        <v>377</v>
      </c>
      <c r="C675" s="26"/>
      <c r="D675" s="26" t="s">
        <v>3</v>
      </c>
      <c r="E675" s="26">
        <v>2</v>
      </c>
      <c r="F675" s="26">
        <v>400</v>
      </c>
      <c r="G675" s="27">
        <v>0.8</v>
      </c>
      <c r="H675" s="28">
        <v>0</v>
      </c>
      <c r="I675" s="30"/>
    </row>
    <row r="676" spans="1:9" ht="15">
      <c r="A676" s="26">
        <v>397</v>
      </c>
      <c r="B676" s="26" t="s">
        <v>377</v>
      </c>
      <c r="C676" s="26" t="s">
        <v>342</v>
      </c>
      <c r="D676" s="26" t="s">
        <v>3</v>
      </c>
      <c r="E676" s="26">
        <v>1</v>
      </c>
      <c r="F676" s="26">
        <v>400</v>
      </c>
      <c r="G676" s="27">
        <f>0.36+50/400</f>
        <v>0.485</v>
      </c>
      <c r="H676" s="28">
        <f t="shared" si="26"/>
        <v>81.69999999999999</v>
      </c>
      <c r="I676" s="32" t="s">
        <v>518</v>
      </c>
    </row>
    <row r="677" spans="1:9" ht="15">
      <c r="A677" s="26">
        <v>398</v>
      </c>
      <c r="B677" s="26" t="s">
        <v>377</v>
      </c>
      <c r="C677" s="26"/>
      <c r="D677" s="26" t="s">
        <v>3</v>
      </c>
      <c r="E677" s="26">
        <v>2</v>
      </c>
      <c r="F677" s="26">
        <v>400</v>
      </c>
      <c r="G677" s="27">
        <v>0.4</v>
      </c>
      <c r="H677" s="28">
        <f t="shared" si="26"/>
        <v>113.99999999999997</v>
      </c>
      <c r="I677" s="33"/>
    </row>
    <row r="678" spans="1:9" ht="15">
      <c r="A678" s="26">
        <v>399</v>
      </c>
      <c r="B678" s="26" t="s">
        <v>377</v>
      </c>
      <c r="C678" s="26" t="s">
        <v>343</v>
      </c>
      <c r="D678" s="26" t="s">
        <v>3</v>
      </c>
      <c r="E678" s="26">
        <v>1</v>
      </c>
      <c r="F678" s="26">
        <v>400</v>
      </c>
      <c r="G678" s="27">
        <f>0.33+100/400</f>
        <v>0.5800000000000001</v>
      </c>
      <c r="H678" s="28">
        <f t="shared" si="26"/>
        <v>45.59999999999995</v>
      </c>
      <c r="I678" s="30"/>
    </row>
    <row r="679" spans="1:9" ht="15">
      <c r="A679" s="26">
        <v>400</v>
      </c>
      <c r="B679" s="26" t="s">
        <v>377</v>
      </c>
      <c r="C679" s="26" t="s">
        <v>441</v>
      </c>
      <c r="D679" s="26" t="s">
        <v>3</v>
      </c>
      <c r="E679" s="26">
        <v>1</v>
      </c>
      <c r="F679" s="26">
        <v>250</v>
      </c>
      <c r="G679" s="27">
        <v>0.76</v>
      </c>
      <c r="H679" s="28">
        <v>0</v>
      </c>
      <c r="I679" s="30"/>
    </row>
    <row r="680" spans="1:9" ht="15">
      <c r="A680" s="26">
        <v>401</v>
      </c>
      <c r="B680" s="26" t="s">
        <v>377</v>
      </c>
      <c r="C680" s="26" t="s">
        <v>442</v>
      </c>
      <c r="D680" s="26" t="s">
        <v>6</v>
      </c>
      <c r="E680" s="26">
        <v>1</v>
      </c>
      <c r="F680" s="26">
        <v>250</v>
      </c>
      <c r="G680" s="27">
        <v>0.91</v>
      </c>
      <c r="H680" s="28">
        <v>0</v>
      </c>
      <c r="I680" s="30"/>
    </row>
    <row r="681" spans="1:9" ht="15">
      <c r="A681" s="26">
        <v>402</v>
      </c>
      <c r="B681" s="26" t="s">
        <v>377</v>
      </c>
      <c r="C681" s="26" t="s">
        <v>443</v>
      </c>
      <c r="D681" s="26" t="s">
        <v>3</v>
      </c>
      <c r="E681" s="26">
        <v>1</v>
      </c>
      <c r="F681" s="26">
        <v>400</v>
      </c>
      <c r="G681" s="27">
        <v>0.92</v>
      </c>
      <c r="H681" s="28">
        <v>0</v>
      </c>
      <c r="I681" s="30"/>
    </row>
    <row r="682" spans="1:9" ht="15">
      <c r="A682" s="26">
        <v>403</v>
      </c>
      <c r="B682" s="26" t="s">
        <v>377</v>
      </c>
      <c r="C682" s="26" t="s">
        <v>344</v>
      </c>
      <c r="D682" s="26" t="s">
        <v>6</v>
      </c>
      <c r="E682" s="26">
        <v>1</v>
      </c>
      <c r="F682" s="26">
        <v>250</v>
      </c>
      <c r="G682" s="27">
        <v>0.42</v>
      </c>
      <c r="H682" s="28">
        <f t="shared" si="26"/>
        <v>66.49999999999999</v>
      </c>
      <c r="I682" s="30"/>
    </row>
    <row r="683" spans="1:9" ht="15">
      <c r="A683" s="26"/>
      <c r="B683" s="26" t="s">
        <v>377</v>
      </c>
      <c r="C683" s="26"/>
      <c r="D683" s="26" t="s">
        <v>6</v>
      </c>
      <c r="E683" s="26">
        <v>2</v>
      </c>
      <c r="F683" s="26">
        <v>250</v>
      </c>
      <c r="G683" s="27">
        <f>0.21+100/250</f>
        <v>0.61</v>
      </c>
      <c r="H683" s="28">
        <f t="shared" si="26"/>
        <v>21.374999999999993</v>
      </c>
      <c r="I683" s="30"/>
    </row>
    <row r="684" spans="1:9" ht="15">
      <c r="A684" s="26">
        <v>404</v>
      </c>
      <c r="B684" s="26" t="s">
        <v>377</v>
      </c>
      <c r="C684" s="26" t="s">
        <v>444</v>
      </c>
      <c r="D684" s="26" t="s">
        <v>3</v>
      </c>
      <c r="E684" s="26">
        <v>1</v>
      </c>
      <c r="F684" s="26">
        <v>400</v>
      </c>
      <c r="G684" s="27">
        <v>0.93</v>
      </c>
      <c r="H684" s="28">
        <v>0</v>
      </c>
      <c r="I684" s="30"/>
    </row>
    <row r="685" spans="1:9" ht="15">
      <c r="A685" s="26">
        <v>405</v>
      </c>
      <c r="B685" s="26" t="s">
        <v>377</v>
      </c>
      <c r="C685" s="26" t="s">
        <v>445</v>
      </c>
      <c r="D685" s="26" t="s">
        <v>3</v>
      </c>
      <c r="E685" s="26">
        <v>1</v>
      </c>
      <c r="F685" s="26">
        <v>630</v>
      </c>
      <c r="G685" s="27">
        <v>0.74</v>
      </c>
      <c r="H685" s="28">
        <v>0</v>
      </c>
      <c r="I685" s="30"/>
    </row>
    <row r="686" spans="1:9" ht="15">
      <c r="A686" s="26">
        <v>406</v>
      </c>
      <c r="B686" s="26" t="s">
        <v>377</v>
      </c>
      <c r="C686" s="26" t="s">
        <v>345</v>
      </c>
      <c r="D686" s="26" t="s">
        <v>3</v>
      </c>
      <c r="E686" s="26">
        <v>1</v>
      </c>
      <c r="F686" s="26">
        <v>630</v>
      </c>
      <c r="G686" s="27">
        <f>0.29+100/630</f>
        <v>0.4487301587301587</v>
      </c>
      <c r="H686" s="28">
        <f t="shared" si="26"/>
        <v>150.385</v>
      </c>
      <c r="I686" s="29" t="s">
        <v>518</v>
      </c>
    </row>
    <row r="687" spans="1:9" ht="15">
      <c r="A687" s="26">
        <v>407</v>
      </c>
      <c r="B687" s="26" t="s">
        <v>377</v>
      </c>
      <c r="C687" s="26" t="s">
        <v>346</v>
      </c>
      <c r="D687" s="26" t="s">
        <v>3</v>
      </c>
      <c r="E687" s="26">
        <v>1</v>
      </c>
      <c r="F687" s="26">
        <v>400</v>
      </c>
      <c r="G687" s="27">
        <v>0.5</v>
      </c>
      <c r="H687" s="28">
        <f t="shared" si="26"/>
        <v>75.99999999999997</v>
      </c>
      <c r="I687" s="30"/>
    </row>
    <row r="688" spans="1:9" ht="15">
      <c r="A688" s="26">
        <v>408</v>
      </c>
      <c r="B688" s="26" t="s">
        <v>377</v>
      </c>
      <c r="C688" s="26" t="s">
        <v>498</v>
      </c>
      <c r="D688" s="26" t="s">
        <v>6</v>
      </c>
      <c r="E688" s="26">
        <v>1</v>
      </c>
      <c r="F688" s="26">
        <v>250</v>
      </c>
      <c r="G688" s="27">
        <f>0.06+90/250</f>
        <v>0.42</v>
      </c>
      <c r="H688" s="28">
        <f t="shared" si="26"/>
        <v>66.49999999999999</v>
      </c>
      <c r="I688" s="30"/>
    </row>
    <row r="689" spans="1:9" ht="15">
      <c r="A689" s="26"/>
      <c r="B689" s="26" t="s">
        <v>377</v>
      </c>
      <c r="C689" s="26"/>
      <c r="D689" s="26" t="s">
        <v>6</v>
      </c>
      <c r="E689" s="26">
        <v>2</v>
      </c>
      <c r="F689" s="26">
        <v>250</v>
      </c>
      <c r="G689" s="27">
        <v>0.28</v>
      </c>
      <c r="H689" s="28">
        <f t="shared" si="26"/>
        <v>99.74999999999997</v>
      </c>
      <c r="I689" s="30"/>
    </row>
    <row r="690" spans="1:9" ht="15">
      <c r="A690" s="26">
        <v>409</v>
      </c>
      <c r="B690" s="26" t="s">
        <v>377</v>
      </c>
      <c r="C690" s="26" t="s">
        <v>446</v>
      </c>
      <c r="D690" s="26" t="s">
        <v>6</v>
      </c>
      <c r="E690" s="26">
        <v>1</v>
      </c>
      <c r="F690" s="26">
        <v>100</v>
      </c>
      <c r="G690" s="27">
        <f>0.21+20/100</f>
        <v>0.41000000000000003</v>
      </c>
      <c r="H690" s="28">
        <f t="shared" si="26"/>
        <v>27.54999999999999</v>
      </c>
      <c r="I690" s="30" t="s">
        <v>518</v>
      </c>
    </row>
    <row r="691" spans="1:9" ht="15">
      <c r="A691" s="26">
        <v>410</v>
      </c>
      <c r="B691" s="26" t="s">
        <v>377</v>
      </c>
      <c r="C691" s="26" t="s">
        <v>447</v>
      </c>
      <c r="D691" s="26" t="s">
        <v>3</v>
      </c>
      <c r="E691" s="26">
        <v>1</v>
      </c>
      <c r="F691" s="26">
        <v>630</v>
      </c>
      <c r="G691" s="27">
        <v>0.63</v>
      </c>
      <c r="H691" s="28">
        <f t="shared" si="26"/>
        <v>41.89499999999997</v>
      </c>
      <c r="I691" s="30"/>
    </row>
    <row r="692" spans="1:9" ht="15">
      <c r="A692" s="26">
        <v>411</v>
      </c>
      <c r="B692" s="26" t="s">
        <v>377</v>
      </c>
      <c r="C692" s="26" t="s">
        <v>448</v>
      </c>
      <c r="D692" s="26" t="s">
        <v>6</v>
      </c>
      <c r="E692" s="26">
        <v>1</v>
      </c>
      <c r="F692" s="26">
        <v>400</v>
      </c>
      <c r="G692" s="27">
        <f>0.49+40/400</f>
        <v>0.59</v>
      </c>
      <c r="H692" s="28">
        <f t="shared" si="26"/>
        <v>41.79999999999999</v>
      </c>
      <c r="I692" s="30"/>
    </row>
    <row r="693" spans="1:9" ht="15">
      <c r="A693" s="26">
        <v>412</v>
      </c>
      <c r="B693" s="26" t="s">
        <v>377</v>
      </c>
      <c r="C693" s="26" t="s">
        <v>449</v>
      </c>
      <c r="D693" s="26" t="s">
        <v>6</v>
      </c>
      <c r="E693" s="26">
        <v>1</v>
      </c>
      <c r="F693" s="26">
        <v>400</v>
      </c>
      <c r="G693" s="27">
        <f>0.19+160/400</f>
        <v>0.5900000000000001</v>
      </c>
      <c r="H693" s="28">
        <f t="shared" si="26"/>
        <v>41.79999999999995</v>
      </c>
      <c r="I693" s="30"/>
    </row>
    <row r="694" spans="1:9" ht="15">
      <c r="A694" s="26">
        <v>413</v>
      </c>
      <c r="B694" s="26" t="s">
        <v>377</v>
      </c>
      <c r="C694" s="26" t="s">
        <v>450</v>
      </c>
      <c r="D694" s="26" t="s">
        <v>6</v>
      </c>
      <c r="E694" s="26">
        <v>1</v>
      </c>
      <c r="F694" s="26">
        <v>400</v>
      </c>
      <c r="G694" s="27">
        <f>0.8+15/400</f>
        <v>0.8375</v>
      </c>
      <c r="H694" s="28">
        <v>0</v>
      </c>
      <c r="I694" s="30"/>
    </row>
    <row r="695" spans="1:9" ht="15">
      <c r="A695" s="26">
        <v>414</v>
      </c>
      <c r="B695" s="26" t="s">
        <v>377</v>
      </c>
      <c r="C695" s="26" t="s">
        <v>347</v>
      </c>
      <c r="D695" s="26" t="s">
        <v>3</v>
      </c>
      <c r="E695" s="26">
        <v>1</v>
      </c>
      <c r="F695" s="26">
        <v>400</v>
      </c>
      <c r="G695" s="27">
        <f>0.34+50/400</f>
        <v>0.465</v>
      </c>
      <c r="H695" s="28">
        <f t="shared" si="26"/>
        <v>89.29999999999997</v>
      </c>
      <c r="I695" s="30"/>
    </row>
    <row r="696" spans="1:9" ht="15">
      <c r="A696" s="26"/>
      <c r="B696" s="26" t="s">
        <v>377</v>
      </c>
      <c r="C696" s="26"/>
      <c r="D696" s="26" t="s">
        <v>3</v>
      </c>
      <c r="E696" s="26">
        <v>2</v>
      </c>
      <c r="F696" s="26">
        <v>400</v>
      </c>
      <c r="G696" s="27">
        <f>0.29+150/400</f>
        <v>0.665</v>
      </c>
      <c r="H696" s="28">
        <f t="shared" si="26"/>
        <v>13.29999999999997</v>
      </c>
      <c r="I696" s="30"/>
    </row>
    <row r="697" spans="1:9" ht="15">
      <c r="A697" s="26">
        <v>415</v>
      </c>
      <c r="B697" s="26" t="s">
        <v>377</v>
      </c>
      <c r="C697" s="26" t="s">
        <v>451</v>
      </c>
      <c r="D697" s="26" t="s">
        <v>6</v>
      </c>
      <c r="E697" s="26">
        <v>1</v>
      </c>
      <c r="F697" s="26">
        <v>250</v>
      </c>
      <c r="G697" s="27">
        <v>0.9</v>
      </c>
      <c r="H697" s="28">
        <v>0</v>
      </c>
      <c r="I697" s="29"/>
    </row>
    <row r="698" spans="1:9" ht="15">
      <c r="A698" s="26"/>
      <c r="B698" s="26" t="s">
        <v>377</v>
      </c>
      <c r="C698" s="26"/>
      <c r="D698" s="26" t="s">
        <v>6</v>
      </c>
      <c r="E698" s="26">
        <v>2</v>
      </c>
      <c r="F698" s="26">
        <v>250</v>
      </c>
      <c r="G698" s="34"/>
      <c r="H698" s="35"/>
      <c r="I698" s="29" t="s">
        <v>519</v>
      </c>
    </row>
    <row r="699" spans="1:9" ht="15">
      <c r="A699" s="26">
        <v>416</v>
      </c>
      <c r="B699" s="26" t="s">
        <v>377</v>
      </c>
      <c r="C699" s="26" t="s">
        <v>452</v>
      </c>
      <c r="D699" s="26" t="s">
        <v>6</v>
      </c>
      <c r="E699" s="26">
        <v>1</v>
      </c>
      <c r="F699" s="26">
        <v>630</v>
      </c>
      <c r="G699" s="27">
        <f>0.6+150/630</f>
        <v>0.838095238095238</v>
      </c>
      <c r="H699" s="28">
        <v>0</v>
      </c>
      <c r="I699" s="30"/>
    </row>
    <row r="700" spans="1:9" ht="15">
      <c r="A700" s="26"/>
      <c r="B700" s="26" t="s">
        <v>377</v>
      </c>
      <c r="C700" s="26"/>
      <c r="D700" s="26" t="s">
        <v>6</v>
      </c>
      <c r="E700" s="26">
        <v>2</v>
      </c>
      <c r="F700" s="26">
        <v>630</v>
      </c>
      <c r="G700" s="27">
        <f>0.6+150/630</f>
        <v>0.838095238095238</v>
      </c>
      <c r="H700" s="28">
        <v>0</v>
      </c>
      <c r="I700" s="30"/>
    </row>
    <row r="701" spans="1:9" ht="15">
      <c r="A701" s="26">
        <v>417</v>
      </c>
      <c r="B701" s="26" t="s">
        <v>377</v>
      </c>
      <c r="C701" s="26" t="s">
        <v>348</v>
      </c>
      <c r="D701" s="26" t="s">
        <v>6</v>
      </c>
      <c r="E701" s="26">
        <v>1</v>
      </c>
      <c r="F701" s="26">
        <v>630</v>
      </c>
      <c r="G701" s="27">
        <v>0.55</v>
      </c>
      <c r="H701" s="28">
        <f aca="true" t="shared" si="27" ref="H701:H756">0.95*(0.7-G701)*F701</f>
        <v>89.77499999999993</v>
      </c>
      <c r="I701" s="30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630</v>
      </c>
      <c r="G702" s="27">
        <v>0.55</v>
      </c>
      <c r="H702" s="28">
        <f t="shared" si="27"/>
        <v>89.77499999999993</v>
      </c>
      <c r="I702" s="30"/>
    </row>
    <row r="703" spans="1:9" ht="15">
      <c r="A703" s="26">
        <v>418</v>
      </c>
      <c r="B703" s="26" t="s">
        <v>377</v>
      </c>
      <c r="C703" s="26" t="s">
        <v>453</v>
      </c>
      <c r="D703" s="26" t="s">
        <v>6</v>
      </c>
      <c r="E703" s="26">
        <v>1</v>
      </c>
      <c r="F703" s="26">
        <v>250</v>
      </c>
      <c r="G703" s="27">
        <v>0.32</v>
      </c>
      <c r="H703" s="28">
        <f t="shared" si="27"/>
        <v>90.24999999999999</v>
      </c>
      <c r="I703" s="30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250</v>
      </c>
      <c r="G704" s="27">
        <v>0.32</v>
      </c>
      <c r="H704" s="28">
        <f t="shared" si="27"/>
        <v>90.24999999999999</v>
      </c>
      <c r="I704" s="30"/>
    </row>
    <row r="705" spans="1:9" ht="15">
      <c r="A705" s="26">
        <v>419</v>
      </c>
      <c r="B705" s="26" t="s">
        <v>377</v>
      </c>
      <c r="C705" s="26" t="s">
        <v>454</v>
      </c>
      <c r="D705" s="26" t="s">
        <v>3</v>
      </c>
      <c r="E705" s="26">
        <v>1</v>
      </c>
      <c r="F705" s="26">
        <v>400</v>
      </c>
      <c r="G705" s="27">
        <v>0.4</v>
      </c>
      <c r="H705" s="28">
        <f t="shared" si="27"/>
        <v>113.99999999999997</v>
      </c>
      <c r="I705" s="30"/>
    </row>
    <row r="706" spans="1:9" ht="15">
      <c r="A706" s="26"/>
      <c r="B706" s="26" t="s">
        <v>377</v>
      </c>
      <c r="C706" s="26"/>
      <c r="D706" s="26" t="s">
        <v>3</v>
      </c>
      <c r="E706" s="26">
        <v>2</v>
      </c>
      <c r="F706" s="26">
        <v>400</v>
      </c>
      <c r="G706" s="27">
        <v>0.45</v>
      </c>
      <c r="H706" s="28">
        <f t="shared" si="27"/>
        <v>94.99999999999997</v>
      </c>
      <c r="I706" s="30"/>
    </row>
    <row r="707" spans="1:9" ht="15">
      <c r="A707" s="26">
        <v>420</v>
      </c>
      <c r="B707" s="26" t="s">
        <v>377</v>
      </c>
      <c r="C707" s="26" t="s">
        <v>455</v>
      </c>
      <c r="D707" s="26" t="s">
        <v>3</v>
      </c>
      <c r="E707" s="26">
        <v>1</v>
      </c>
      <c r="F707" s="26">
        <v>250</v>
      </c>
      <c r="G707" s="27">
        <v>0.45</v>
      </c>
      <c r="H707" s="28">
        <f t="shared" si="27"/>
        <v>59.374999999999986</v>
      </c>
      <c r="I707" s="30"/>
    </row>
    <row r="708" spans="1:9" ht="15">
      <c r="A708" s="26">
        <v>421</v>
      </c>
      <c r="B708" s="26" t="s">
        <v>377</v>
      </c>
      <c r="C708" s="26" t="s">
        <v>349</v>
      </c>
      <c r="D708" s="26" t="s">
        <v>3</v>
      </c>
      <c r="E708" s="26">
        <v>1</v>
      </c>
      <c r="F708" s="26">
        <v>400</v>
      </c>
      <c r="G708" s="27">
        <v>0.66</v>
      </c>
      <c r="H708" s="28">
        <f t="shared" si="27"/>
        <v>15.199999999999973</v>
      </c>
      <c r="I708" s="30"/>
    </row>
    <row r="709" spans="1:9" ht="15">
      <c r="A709" s="26"/>
      <c r="B709" s="26" t="s">
        <v>377</v>
      </c>
      <c r="C709" s="26"/>
      <c r="D709" s="26" t="s">
        <v>3</v>
      </c>
      <c r="E709" s="26">
        <v>2</v>
      </c>
      <c r="F709" s="26">
        <v>400</v>
      </c>
      <c r="G709" s="27">
        <f>0.03+250/400+12/400</f>
        <v>0.685</v>
      </c>
      <c r="H709" s="28">
        <f t="shared" si="27"/>
        <v>5.699999999999963</v>
      </c>
      <c r="I709" s="30"/>
    </row>
    <row r="710" spans="1:9" ht="15">
      <c r="A710" s="26">
        <v>422</v>
      </c>
      <c r="B710" s="26" t="s">
        <v>377</v>
      </c>
      <c r="C710" s="26" t="s">
        <v>456</v>
      </c>
      <c r="D710" s="26" t="s">
        <v>6</v>
      </c>
      <c r="E710" s="26">
        <v>1</v>
      </c>
      <c r="F710" s="26">
        <v>400</v>
      </c>
      <c r="G710" s="27">
        <v>1</v>
      </c>
      <c r="H710" s="28">
        <v>0</v>
      </c>
      <c r="I710" s="30"/>
    </row>
    <row r="711" spans="1:9" ht="15">
      <c r="A711" s="26"/>
      <c r="B711" s="26" t="s">
        <v>377</v>
      </c>
      <c r="C711" s="26"/>
      <c r="D711" s="26" t="s">
        <v>6</v>
      </c>
      <c r="E711" s="26">
        <v>2</v>
      </c>
      <c r="F711" s="26">
        <v>400</v>
      </c>
      <c r="G711" s="27">
        <v>1</v>
      </c>
      <c r="H711" s="28">
        <v>0</v>
      </c>
      <c r="I711" s="30"/>
    </row>
    <row r="712" spans="1:9" ht="15">
      <c r="A712" s="26">
        <v>423</v>
      </c>
      <c r="B712" s="26" t="s">
        <v>377</v>
      </c>
      <c r="C712" s="26" t="s">
        <v>457</v>
      </c>
      <c r="D712" s="26" t="s">
        <v>3</v>
      </c>
      <c r="E712" s="26">
        <v>1</v>
      </c>
      <c r="F712" s="26">
        <v>630</v>
      </c>
      <c r="G712" s="27">
        <v>0.57</v>
      </c>
      <c r="H712" s="28">
        <f t="shared" si="27"/>
        <v>77.80499999999999</v>
      </c>
      <c r="I712" s="30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630</v>
      </c>
      <c r="G713" s="27">
        <f>0.37+150/630</f>
        <v>0.608095238095238</v>
      </c>
      <c r="H713" s="28">
        <f t="shared" si="27"/>
        <v>55.00500000000002</v>
      </c>
      <c r="I713" s="30"/>
    </row>
    <row r="714" spans="1:9" ht="15">
      <c r="A714" s="26">
        <v>424</v>
      </c>
      <c r="B714" s="26" t="s">
        <v>377</v>
      </c>
      <c r="C714" s="26" t="s">
        <v>350</v>
      </c>
      <c r="D714" s="26" t="s">
        <v>6</v>
      </c>
      <c r="E714" s="26">
        <v>1</v>
      </c>
      <c r="F714" s="26">
        <v>250</v>
      </c>
      <c r="G714" s="27">
        <v>0.55</v>
      </c>
      <c r="H714" s="28">
        <f t="shared" si="27"/>
        <v>35.62499999999998</v>
      </c>
      <c r="I714" s="30"/>
    </row>
    <row r="715" spans="1:9" ht="15">
      <c r="A715" s="26">
        <v>425</v>
      </c>
      <c r="B715" s="26" t="s">
        <v>377</v>
      </c>
      <c r="C715" s="26" t="s">
        <v>351</v>
      </c>
      <c r="D715" s="26" t="s">
        <v>6</v>
      </c>
      <c r="E715" s="26">
        <v>1</v>
      </c>
      <c r="F715" s="26">
        <v>1000</v>
      </c>
      <c r="G715" s="27">
        <v>0.7</v>
      </c>
      <c r="H715" s="28">
        <f t="shared" si="27"/>
        <v>0</v>
      </c>
      <c r="I715" s="30"/>
    </row>
    <row r="716" spans="1:9" ht="15">
      <c r="A716" s="26">
        <v>426</v>
      </c>
      <c r="B716" s="26" t="s">
        <v>377</v>
      </c>
      <c r="C716" s="26" t="s">
        <v>352</v>
      </c>
      <c r="D716" s="26" t="s">
        <v>6</v>
      </c>
      <c r="E716" s="26">
        <v>1</v>
      </c>
      <c r="F716" s="26">
        <v>400</v>
      </c>
      <c r="G716" s="27">
        <f>0.26+100/400</f>
        <v>0.51</v>
      </c>
      <c r="H716" s="28">
        <f t="shared" si="27"/>
        <v>72.19999999999997</v>
      </c>
      <c r="I716" s="30"/>
    </row>
    <row r="717" spans="1:9" ht="15">
      <c r="A717" s="26"/>
      <c r="B717" s="26" t="s">
        <v>377</v>
      </c>
      <c r="C717" s="26"/>
      <c r="D717" s="26" t="s">
        <v>6</v>
      </c>
      <c r="E717" s="26">
        <v>2</v>
      </c>
      <c r="F717" s="26">
        <v>400</v>
      </c>
      <c r="G717" s="27">
        <f>0.02+120/400</f>
        <v>0.32</v>
      </c>
      <c r="H717" s="28">
        <f t="shared" si="27"/>
        <v>144.39999999999998</v>
      </c>
      <c r="I717" s="30"/>
    </row>
    <row r="718" spans="1:9" ht="15">
      <c r="A718" s="26">
        <v>427</v>
      </c>
      <c r="B718" s="26" t="s">
        <v>377</v>
      </c>
      <c r="C718" s="26" t="s">
        <v>458</v>
      </c>
      <c r="D718" s="26" t="s">
        <v>3</v>
      </c>
      <c r="E718" s="26">
        <v>1</v>
      </c>
      <c r="F718" s="26">
        <v>1000</v>
      </c>
      <c r="G718" s="27">
        <v>0.7</v>
      </c>
      <c r="H718" s="28">
        <f t="shared" si="27"/>
        <v>0</v>
      </c>
      <c r="I718" s="30"/>
    </row>
    <row r="719" spans="1:9" ht="15">
      <c r="A719" s="26"/>
      <c r="B719" s="26" t="s">
        <v>377</v>
      </c>
      <c r="C719" s="26"/>
      <c r="D719" s="26" t="s">
        <v>3</v>
      </c>
      <c r="E719" s="26">
        <v>2</v>
      </c>
      <c r="F719" s="26">
        <v>1000</v>
      </c>
      <c r="G719" s="27">
        <v>0.7</v>
      </c>
      <c r="H719" s="28">
        <f t="shared" si="27"/>
        <v>0</v>
      </c>
      <c r="I719" s="30"/>
    </row>
    <row r="720" spans="1:9" ht="15">
      <c r="A720" s="26">
        <v>428</v>
      </c>
      <c r="B720" s="26" t="s">
        <v>377</v>
      </c>
      <c r="C720" s="26" t="s">
        <v>459</v>
      </c>
      <c r="D720" s="26" t="s">
        <v>3</v>
      </c>
      <c r="E720" s="26">
        <v>1</v>
      </c>
      <c r="F720" s="26">
        <v>1000</v>
      </c>
      <c r="G720" s="27">
        <v>0.7</v>
      </c>
      <c r="H720" s="28">
        <f t="shared" si="27"/>
        <v>0</v>
      </c>
      <c r="I720" s="30"/>
    </row>
    <row r="721" spans="1:9" ht="15">
      <c r="A721" s="26"/>
      <c r="B721" s="26" t="s">
        <v>377</v>
      </c>
      <c r="C721" s="26"/>
      <c r="D721" s="26" t="s">
        <v>3</v>
      </c>
      <c r="E721" s="26">
        <v>2</v>
      </c>
      <c r="F721" s="26">
        <v>1000</v>
      </c>
      <c r="G721" s="27">
        <v>0.7</v>
      </c>
      <c r="H721" s="28">
        <f t="shared" si="27"/>
        <v>0</v>
      </c>
      <c r="I721" s="30"/>
    </row>
    <row r="722" spans="1:9" ht="15">
      <c r="A722" s="26">
        <v>429</v>
      </c>
      <c r="B722" s="26" t="s">
        <v>377</v>
      </c>
      <c r="C722" s="26" t="s">
        <v>460</v>
      </c>
      <c r="D722" s="26" t="s">
        <v>3</v>
      </c>
      <c r="E722" s="26">
        <v>1</v>
      </c>
      <c r="F722" s="26">
        <v>250</v>
      </c>
      <c r="G722" s="27">
        <v>0.6</v>
      </c>
      <c r="H722" s="28">
        <f t="shared" si="27"/>
        <v>23.749999999999993</v>
      </c>
      <c r="I722" s="30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250</v>
      </c>
      <c r="G723" s="27">
        <v>0.6</v>
      </c>
      <c r="H723" s="28">
        <f t="shared" si="27"/>
        <v>23.749999999999993</v>
      </c>
      <c r="I723" s="30"/>
    </row>
    <row r="724" spans="1:9" ht="15">
      <c r="A724" s="26">
        <v>430</v>
      </c>
      <c r="B724" s="26" t="s">
        <v>377</v>
      </c>
      <c r="C724" s="26" t="s">
        <v>461</v>
      </c>
      <c r="D724" s="26" t="s">
        <v>3</v>
      </c>
      <c r="E724" s="26">
        <v>1</v>
      </c>
      <c r="F724" s="26">
        <v>250</v>
      </c>
      <c r="G724" s="27">
        <v>0.5</v>
      </c>
      <c r="H724" s="28">
        <f t="shared" si="27"/>
        <v>47.499999999999986</v>
      </c>
      <c r="I724" s="30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250</v>
      </c>
      <c r="G725" s="27">
        <v>0.5</v>
      </c>
      <c r="H725" s="28">
        <f t="shared" si="27"/>
        <v>47.499999999999986</v>
      </c>
      <c r="I725" s="30"/>
    </row>
    <row r="726" spans="1:9" ht="15">
      <c r="A726" s="26">
        <v>432</v>
      </c>
      <c r="B726" s="26" t="s">
        <v>377</v>
      </c>
      <c r="C726" s="26" t="s">
        <v>462</v>
      </c>
      <c r="D726" s="26" t="s">
        <v>3</v>
      </c>
      <c r="E726" s="26">
        <v>1</v>
      </c>
      <c r="F726" s="26">
        <v>400</v>
      </c>
      <c r="G726" s="27">
        <v>0.46</v>
      </c>
      <c r="H726" s="28">
        <f t="shared" si="27"/>
        <v>91.19999999999997</v>
      </c>
      <c r="I726" s="30"/>
    </row>
    <row r="727" spans="1:9" ht="15">
      <c r="A727" s="26">
        <v>433</v>
      </c>
      <c r="B727" s="26" t="s">
        <v>377</v>
      </c>
      <c r="C727" s="26" t="s">
        <v>463</v>
      </c>
      <c r="D727" s="26" t="s">
        <v>3</v>
      </c>
      <c r="E727" s="26">
        <v>1</v>
      </c>
      <c r="F727" s="26">
        <v>400</v>
      </c>
      <c r="G727" s="27">
        <v>0.5</v>
      </c>
      <c r="H727" s="28">
        <f t="shared" si="27"/>
        <v>75.99999999999997</v>
      </c>
      <c r="I727" s="30"/>
    </row>
    <row r="728" spans="1:9" ht="15">
      <c r="A728" s="26"/>
      <c r="B728" s="26" t="s">
        <v>377</v>
      </c>
      <c r="C728" s="26"/>
      <c r="D728" s="26" t="s">
        <v>3</v>
      </c>
      <c r="E728" s="26">
        <v>2</v>
      </c>
      <c r="F728" s="26">
        <v>400</v>
      </c>
      <c r="G728" s="27">
        <v>0.5</v>
      </c>
      <c r="H728" s="28">
        <f t="shared" si="27"/>
        <v>75.99999999999997</v>
      </c>
      <c r="I728" s="30"/>
    </row>
    <row r="729" spans="1:9" ht="15">
      <c r="A729" s="26">
        <v>434</v>
      </c>
      <c r="B729" s="26" t="s">
        <v>377</v>
      </c>
      <c r="C729" s="26" t="s">
        <v>464</v>
      </c>
      <c r="D729" s="26" t="s">
        <v>3</v>
      </c>
      <c r="E729" s="26">
        <v>1</v>
      </c>
      <c r="F729" s="26">
        <v>630</v>
      </c>
      <c r="G729" s="27">
        <f>0.18+180/630</f>
        <v>0.4657142857142857</v>
      </c>
      <c r="H729" s="28">
        <f t="shared" si="27"/>
        <v>140.21999999999997</v>
      </c>
      <c r="I729" s="30"/>
    </row>
    <row r="730" spans="1:9" ht="15">
      <c r="A730" s="26"/>
      <c r="B730" s="26" t="s">
        <v>377</v>
      </c>
      <c r="C730" s="26"/>
      <c r="D730" s="26" t="s">
        <v>3</v>
      </c>
      <c r="E730" s="26">
        <v>2</v>
      </c>
      <c r="F730" s="26">
        <v>630</v>
      </c>
      <c r="G730" s="27">
        <f>0.22+180/630</f>
        <v>0.5057142857142857</v>
      </c>
      <c r="H730" s="28">
        <f t="shared" si="27"/>
        <v>116.27999999999999</v>
      </c>
      <c r="I730" s="30"/>
    </row>
    <row r="731" spans="1:9" ht="15">
      <c r="A731" s="26">
        <v>435</v>
      </c>
      <c r="B731" s="26" t="s">
        <v>377</v>
      </c>
      <c r="C731" s="26" t="s">
        <v>465</v>
      </c>
      <c r="D731" s="26" t="s">
        <v>3</v>
      </c>
      <c r="E731" s="26">
        <v>1</v>
      </c>
      <c r="F731" s="26">
        <v>250</v>
      </c>
      <c r="G731" s="27">
        <v>0.6</v>
      </c>
      <c r="H731" s="28">
        <f t="shared" si="27"/>
        <v>23.749999999999993</v>
      </c>
      <c r="I731" s="30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250</v>
      </c>
      <c r="G732" s="27">
        <v>0.48</v>
      </c>
      <c r="H732" s="28">
        <f t="shared" si="27"/>
        <v>52.24999999999999</v>
      </c>
      <c r="I732" s="30"/>
    </row>
    <row r="733" spans="1:9" ht="15">
      <c r="A733" s="26">
        <v>436</v>
      </c>
      <c r="B733" s="26" t="s">
        <v>377</v>
      </c>
      <c r="C733" s="26" t="s">
        <v>466</v>
      </c>
      <c r="D733" s="26" t="s">
        <v>3</v>
      </c>
      <c r="E733" s="26">
        <v>1</v>
      </c>
      <c r="F733" s="26">
        <v>250</v>
      </c>
      <c r="G733" s="27">
        <v>0.7</v>
      </c>
      <c r="H733" s="28">
        <f t="shared" si="27"/>
        <v>0</v>
      </c>
      <c r="I733" s="30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250</v>
      </c>
      <c r="G734" s="27">
        <v>0.7</v>
      </c>
      <c r="H734" s="28">
        <f t="shared" si="27"/>
        <v>0</v>
      </c>
      <c r="I734" s="30"/>
    </row>
    <row r="735" spans="1:9" ht="15">
      <c r="A735" s="26">
        <v>437</v>
      </c>
      <c r="B735" s="26" t="s">
        <v>377</v>
      </c>
      <c r="C735" s="26" t="s">
        <v>467</v>
      </c>
      <c r="D735" s="26" t="s">
        <v>3</v>
      </c>
      <c r="E735" s="26">
        <v>1</v>
      </c>
      <c r="F735" s="26">
        <v>250</v>
      </c>
      <c r="G735" s="27">
        <v>0.7</v>
      </c>
      <c r="H735" s="28">
        <f t="shared" si="27"/>
        <v>0</v>
      </c>
      <c r="I735" s="30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7">
        <v>0.7</v>
      </c>
      <c r="H736" s="28">
        <v>0</v>
      </c>
      <c r="I736" s="30"/>
    </row>
    <row r="737" spans="1:9" ht="15">
      <c r="A737" s="26">
        <v>438</v>
      </c>
      <c r="B737" s="26" t="s">
        <v>377</v>
      </c>
      <c r="C737" s="26" t="s">
        <v>379</v>
      </c>
      <c r="D737" s="26" t="s">
        <v>3</v>
      </c>
      <c r="E737" s="26">
        <v>1</v>
      </c>
      <c r="F737" s="26">
        <v>250</v>
      </c>
      <c r="G737" s="27">
        <v>0.53</v>
      </c>
      <c r="H737" s="28">
        <f t="shared" si="27"/>
        <v>40.37499999999998</v>
      </c>
      <c r="I737" s="30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7">
        <v>0.34</v>
      </c>
      <c r="H738" s="28">
        <f t="shared" si="27"/>
        <v>85.49999999999999</v>
      </c>
      <c r="I738" s="30"/>
    </row>
    <row r="739" spans="1:9" ht="15">
      <c r="A739" s="26">
        <v>439</v>
      </c>
      <c r="B739" s="26" t="s">
        <v>377</v>
      </c>
      <c r="C739" s="26" t="s">
        <v>468</v>
      </c>
      <c r="D739" s="26" t="s">
        <v>3</v>
      </c>
      <c r="E739" s="26">
        <v>1</v>
      </c>
      <c r="F739" s="26">
        <v>630</v>
      </c>
      <c r="G739" s="27">
        <v>0.57</v>
      </c>
      <c r="H739" s="28">
        <f t="shared" si="27"/>
        <v>77.80499999999999</v>
      </c>
      <c r="I739" s="30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630</v>
      </c>
      <c r="G740" s="27">
        <v>0.6</v>
      </c>
      <c r="H740" s="28">
        <f t="shared" si="27"/>
        <v>59.84999999999998</v>
      </c>
      <c r="I740" s="30"/>
    </row>
    <row r="741" spans="1:9" ht="15">
      <c r="A741" s="26">
        <v>440</v>
      </c>
      <c r="B741" s="26" t="s">
        <v>377</v>
      </c>
      <c r="C741" s="26" t="s">
        <v>499</v>
      </c>
      <c r="D741" s="26" t="s">
        <v>6</v>
      </c>
      <c r="E741" s="26">
        <v>1</v>
      </c>
      <c r="F741" s="26">
        <v>630</v>
      </c>
      <c r="G741" s="27">
        <f>600/630</f>
        <v>0.9523809523809523</v>
      </c>
      <c r="H741" s="28">
        <v>0</v>
      </c>
      <c r="I741" s="30"/>
    </row>
    <row r="742" spans="1:9" ht="15">
      <c r="A742" s="26">
        <v>442</v>
      </c>
      <c r="B742" s="26" t="s">
        <v>377</v>
      </c>
      <c r="C742" s="26" t="s">
        <v>380</v>
      </c>
      <c r="D742" s="26" t="s">
        <v>6</v>
      </c>
      <c r="E742" s="26">
        <v>1</v>
      </c>
      <c r="F742" s="26">
        <v>250</v>
      </c>
      <c r="G742" s="27">
        <v>0.6</v>
      </c>
      <c r="H742" s="28">
        <f t="shared" si="27"/>
        <v>23.749999999999993</v>
      </c>
      <c r="I742" s="30"/>
    </row>
    <row r="743" spans="1:9" ht="15">
      <c r="A743" s="26">
        <v>443</v>
      </c>
      <c r="B743" s="26" t="s">
        <v>377</v>
      </c>
      <c r="C743" s="26" t="s">
        <v>381</v>
      </c>
      <c r="D743" s="26" t="s">
        <v>6</v>
      </c>
      <c r="E743" s="26">
        <v>1</v>
      </c>
      <c r="F743" s="26">
        <v>630</v>
      </c>
      <c r="G743" s="27">
        <v>0.7</v>
      </c>
      <c r="H743" s="28">
        <f t="shared" si="27"/>
        <v>0</v>
      </c>
      <c r="I743" s="30"/>
    </row>
    <row r="744" spans="1:9" ht="15">
      <c r="A744" s="26"/>
      <c r="B744" s="26" t="s">
        <v>377</v>
      </c>
      <c r="C744" s="26"/>
      <c r="D744" s="26" t="s">
        <v>6</v>
      </c>
      <c r="E744" s="26">
        <v>2</v>
      </c>
      <c r="F744" s="26">
        <v>560</v>
      </c>
      <c r="G744" s="27">
        <v>0.7</v>
      </c>
      <c r="H744" s="28">
        <f t="shared" si="27"/>
        <v>0</v>
      </c>
      <c r="I744" s="30"/>
    </row>
    <row r="745" spans="1:9" ht="15">
      <c r="A745" s="26">
        <v>444</v>
      </c>
      <c r="B745" s="26" t="s">
        <v>377</v>
      </c>
      <c r="C745" s="26" t="s">
        <v>382</v>
      </c>
      <c r="D745" s="26" t="s">
        <v>6</v>
      </c>
      <c r="E745" s="26">
        <v>1</v>
      </c>
      <c r="F745" s="26">
        <v>630</v>
      </c>
      <c r="G745" s="27">
        <v>0.7</v>
      </c>
      <c r="H745" s="28">
        <f t="shared" si="27"/>
        <v>0</v>
      </c>
      <c r="I745" s="30"/>
    </row>
    <row r="746" spans="1:9" ht="15">
      <c r="A746" s="26">
        <v>445</v>
      </c>
      <c r="B746" s="26" t="s">
        <v>377</v>
      </c>
      <c r="C746" s="26" t="s">
        <v>383</v>
      </c>
      <c r="D746" s="26" t="s">
        <v>6</v>
      </c>
      <c r="E746" s="26">
        <v>1</v>
      </c>
      <c r="F746" s="26">
        <v>630</v>
      </c>
      <c r="G746" s="27">
        <v>0.7</v>
      </c>
      <c r="H746" s="28">
        <f t="shared" si="27"/>
        <v>0</v>
      </c>
      <c r="I746" s="30"/>
    </row>
    <row r="747" spans="1:9" ht="15">
      <c r="A747" s="26"/>
      <c r="B747" s="26" t="s">
        <v>377</v>
      </c>
      <c r="C747" s="26"/>
      <c r="D747" s="26" t="s">
        <v>6</v>
      </c>
      <c r="E747" s="26">
        <v>2</v>
      </c>
      <c r="F747" s="26">
        <v>560</v>
      </c>
      <c r="G747" s="27">
        <v>0.7</v>
      </c>
      <c r="H747" s="28">
        <f t="shared" si="27"/>
        <v>0</v>
      </c>
      <c r="I747" s="30"/>
    </row>
    <row r="748" spans="1:9" ht="15">
      <c r="A748" s="26">
        <v>446</v>
      </c>
      <c r="B748" s="26" t="s">
        <v>377</v>
      </c>
      <c r="C748" s="26" t="s">
        <v>384</v>
      </c>
      <c r="D748" s="26" t="s">
        <v>6</v>
      </c>
      <c r="E748" s="26">
        <v>1</v>
      </c>
      <c r="F748" s="26">
        <v>1000</v>
      </c>
      <c r="G748" s="27">
        <v>0.7</v>
      </c>
      <c r="H748" s="28">
        <f t="shared" si="27"/>
        <v>0</v>
      </c>
      <c r="I748" s="30"/>
    </row>
    <row r="749" spans="1:9" ht="15">
      <c r="A749" s="26"/>
      <c r="B749" s="26" t="s">
        <v>377</v>
      </c>
      <c r="C749" s="26"/>
      <c r="D749" s="26" t="s">
        <v>6</v>
      </c>
      <c r="E749" s="26">
        <v>2</v>
      </c>
      <c r="F749" s="26">
        <v>1000</v>
      </c>
      <c r="G749" s="27">
        <v>0.7</v>
      </c>
      <c r="H749" s="28">
        <f t="shared" si="27"/>
        <v>0</v>
      </c>
      <c r="I749" s="30"/>
    </row>
    <row r="750" spans="1:9" ht="15">
      <c r="A750" s="26">
        <v>447</v>
      </c>
      <c r="B750" s="26" t="s">
        <v>377</v>
      </c>
      <c r="C750" s="26" t="s">
        <v>500</v>
      </c>
      <c r="D750" s="26" t="s">
        <v>6</v>
      </c>
      <c r="E750" s="26">
        <v>1</v>
      </c>
      <c r="F750" s="26">
        <v>400</v>
      </c>
      <c r="G750" s="27">
        <v>0.7</v>
      </c>
      <c r="H750" s="28">
        <f t="shared" si="27"/>
        <v>0</v>
      </c>
      <c r="I750" s="30"/>
    </row>
    <row r="751" spans="1:9" ht="15">
      <c r="A751" s="26">
        <v>448</v>
      </c>
      <c r="B751" s="26" t="s">
        <v>377</v>
      </c>
      <c r="C751" s="26" t="s">
        <v>501</v>
      </c>
      <c r="D751" s="26" t="s">
        <v>3</v>
      </c>
      <c r="E751" s="26">
        <v>1</v>
      </c>
      <c r="F751" s="26">
        <v>250</v>
      </c>
      <c r="G751" s="27">
        <v>0.7</v>
      </c>
      <c r="H751" s="28">
        <f t="shared" si="27"/>
        <v>0</v>
      </c>
      <c r="I751" s="30"/>
    </row>
    <row r="752" spans="1:9" ht="15">
      <c r="A752" s="26">
        <v>449</v>
      </c>
      <c r="B752" s="26" t="s">
        <v>377</v>
      </c>
      <c r="C752" s="26" t="s">
        <v>502</v>
      </c>
      <c r="D752" s="26" t="s">
        <v>3</v>
      </c>
      <c r="E752" s="26">
        <v>1</v>
      </c>
      <c r="F752" s="26">
        <v>630</v>
      </c>
      <c r="G752" s="27">
        <v>0.7</v>
      </c>
      <c r="H752" s="28">
        <f t="shared" si="27"/>
        <v>0</v>
      </c>
      <c r="I752" s="30"/>
    </row>
    <row r="753" spans="1:9" ht="15">
      <c r="A753" s="26"/>
      <c r="B753" s="26" t="s">
        <v>377</v>
      </c>
      <c r="C753" s="26"/>
      <c r="D753" s="26" t="s">
        <v>3</v>
      </c>
      <c r="E753" s="26">
        <v>2</v>
      </c>
      <c r="F753" s="26">
        <v>630</v>
      </c>
      <c r="G753" s="27">
        <v>0.7</v>
      </c>
      <c r="H753" s="28">
        <f t="shared" si="27"/>
        <v>0</v>
      </c>
      <c r="I753" s="30"/>
    </row>
    <row r="754" spans="1:9" ht="15">
      <c r="A754" s="26"/>
      <c r="B754" s="26" t="s">
        <v>377</v>
      </c>
      <c r="C754" s="26" t="s">
        <v>520</v>
      </c>
      <c r="D754" s="26" t="s">
        <v>6</v>
      </c>
      <c r="E754" s="26">
        <v>1</v>
      </c>
      <c r="F754" s="26">
        <v>250</v>
      </c>
      <c r="G754" s="27">
        <v>1</v>
      </c>
      <c r="H754" s="28">
        <v>0</v>
      </c>
      <c r="I754" s="30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250</v>
      </c>
      <c r="G755" s="27">
        <v>1</v>
      </c>
      <c r="H755" s="28">
        <v>0</v>
      </c>
      <c r="I755" s="30"/>
    </row>
    <row r="756" spans="1:9" ht="15">
      <c r="A756" s="26">
        <v>450</v>
      </c>
      <c r="B756" s="26" t="s">
        <v>377</v>
      </c>
      <c r="C756" s="26" t="s">
        <v>503</v>
      </c>
      <c r="D756" s="26" t="s">
        <v>6</v>
      </c>
      <c r="E756" s="26">
        <v>1</v>
      </c>
      <c r="F756" s="26">
        <v>250</v>
      </c>
      <c r="G756" s="27">
        <v>0.7</v>
      </c>
      <c r="H756" s="28">
        <f t="shared" si="27"/>
        <v>0</v>
      </c>
      <c r="I756" s="30"/>
    </row>
    <row r="757" spans="1:9" ht="15">
      <c r="A757" s="26">
        <v>451</v>
      </c>
      <c r="B757" s="26" t="s">
        <v>377</v>
      </c>
      <c r="C757" s="26" t="s">
        <v>504</v>
      </c>
      <c r="D757" s="26" t="s">
        <v>3</v>
      </c>
      <c r="E757" s="26">
        <v>1</v>
      </c>
      <c r="F757" s="26">
        <v>40</v>
      </c>
      <c r="G757" s="27">
        <v>0.9</v>
      </c>
      <c r="H757" s="28">
        <v>0</v>
      </c>
      <c r="I757" s="30"/>
    </row>
    <row r="758" spans="1:9" ht="15">
      <c r="A758" s="26">
        <v>452</v>
      </c>
      <c r="B758" s="26" t="s">
        <v>377</v>
      </c>
      <c r="C758" s="26" t="s">
        <v>536</v>
      </c>
      <c r="D758" s="26" t="s">
        <v>6</v>
      </c>
      <c r="E758" s="26">
        <v>1</v>
      </c>
      <c r="F758" s="26">
        <v>250</v>
      </c>
      <c r="G758" s="27">
        <v>0.7</v>
      </c>
      <c r="H758" s="28">
        <v>0</v>
      </c>
      <c r="I758" s="30"/>
    </row>
    <row r="759" spans="1:9" ht="15">
      <c r="A759" s="26">
        <v>453</v>
      </c>
      <c r="B759" s="26" t="s">
        <v>377</v>
      </c>
      <c r="C759" s="26" t="s">
        <v>521</v>
      </c>
      <c r="D759" s="26" t="s">
        <v>3</v>
      </c>
      <c r="E759" s="26">
        <v>1</v>
      </c>
      <c r="F759" s="26">
        <v>630</v>
      </c>
      <c r="G759" s="27">
        <v>0.9</v>
      </c>
      <c r="H759" s="28">
        <v>0</v>
      </c>
      <c r="I759" s="30"/>
    </row>
    <row r="760" spans="1:9" ht="15">
      <c r="A760" s="26">
        <v>454</v>
      </c>
      <c r="B760" s="26" t="s">
        <v>377</v>
      </c>
      <c r="C760" s="26" t="s">
        <v>522</v>
      </c>
      <c r="D760" s="26" t="s">
        <v>3</v>
      </c>
      <c r="E760" s="26">
        <v>1</v>
      </c>
      <c r="F760" s="26">
        <v>400</v>
      </c>
      <c r="G760" s="27">
        <v>0.8</v>
      </c>
      <c r="H760" s="28">
        <v>0</v>
      </c>
      <c r="I760" s="30"/>
    </row>
    <row r="761" spans="1:9" ht="15">
      <c r="A761" s="26"/>
      <c r="B761" s="26" t="s">
        <v>377</v>
      </c>
      <c r="C761" s="26"/>
      <c r="D761" s="26" t="s">
        <v>3</v>
      </c>
      <c r="E761" s="26">
        <v>2</v>
      </c>
      <c r="F761" s="26">
        <v>400</v>
      </c>
      <c r="G761" s="27">
        <v>0.8</v>
      </c>
      <c r="H761" s="28">
        <v>0</v>
      </c>
      <c r="I761" s="30"/>
    </row>
    <row r="762" spans="1:9" ht="15">
      <c r="A762" s="26">
        <v>455</v>
      </c>
      <c r="B762" s="26" t="s">
        <v>377</v>
      </c>
      <c r="C762" s="26" t="s">
        <v>523</v>
      </c>
      <c r="D762" s="26" t="s">
        <v>3</v>
      </c>
      <c r="E762" s="26">
        <v>1</v>
      </c>
      <c r="F762" s="26">
        <v>400</v>
      </c>
      <c r="G762" s="27">
        <v>0.8</v>
      </c>
      <c r="H762" s="28">
        <v>0</v>
      </c>
      <c r="I762" s="30"/>
    </row>
    <row r="763" spans="1:9" ht="15">
      <c r="A763" s="26"/>
      <c r="B763" s="26" t="s">
        <v>377</v>
      </c>
      <c r="C763" s="26"/>
      <c r="D763" s="26" t="s">
        <v>3</v>
      </c>
      <c r="E763" s="26">
        <v>2</v>
      </c>
      <c r="F763" s="26">
        <v>400</v>
      </c>
      <c r="G763" s="27">
        <v>0.8</v>
      </c>
      <c r="H763" s="28">
        <v>0</v>
      </c>
      <c r="I763" s="30"/>
    </row>
    <row r="764" spans="1:9" ht="15">
      <c r="A764" s="26"/>
      <c r="B764" s="26" t="s">
        <v>377</v>
      </c>
      <c r="C764" s="26" t="s">
        <v>537</v>
      </c>
      <c r="D764" s="26" t="s">
        <v>3</v>
      </c>
      <c r="E764" s="26">
        <v>1</v>
      </c>
      <c r="F764" s="26">
        <v>700</v>
      </c>
      <c r="G764" s="27">
        <v>1</v>
      </c>
      <c r="H764" s="28">
        <v>0</v>
      </c>
      <c r="I764" s="30" t="s">
        <v>518</v>
      </c>
    </row>
    <row r="765" spans="1:9" ht="15">
      <c r="A765" s="26"/>
      <c r="B765" s="26" t="s">
        <v>377</v>
      </c>
      <c r="C765" s="6"/>
      <c r="D765" s="26" t="s">
        <v>3</v>
      </c>
      <c r="E765" s="26">
        <v>2</v>
      </c>
      <c r="F765" s="26">
        <v>700</v>
      </c>
      <c r="G765" s="27">
        <v>1</v>
      </c>
      <c r="H765" s="28">
        <v>0</v>
      </c>
      <c r="I765" s="30" t="s">
        <v>518</v>
      </c>
    </row>
    <row r="766" spans="1:9" ht="15">
      <c r="A766" s="26">
        <v>456</v>
      </c>
      <c r="B766" s="26" t="s">
        <v>377</v>
      </c>
      <c r="C766" s="26" t="s">
        <v>505</v>
      </c>
      <c r="D766" s="26" t="s">
        <v>3</v>
      </c>
      <c r="E766" s="26">
        <v>1</v>
      </c>
      <c r="F766" s="26">
        <v>1000</v>
      </c>
      <c r="G766" s="27">
        <v>1</v>
      </c>
      <c r="H766" s="28">
        <v>0</v>
      </c>
      <c r="I766" s="30"/>
    </row>
    <row r="767" spans="1:9" ht="15">
      <c r="A767" s="26">
        <v>457</v>
      </c>
      <c r="B767" s="26" t="s">
        <v>377</v>
      </c>
      <c r="C767" s="26" t="s">
        <v>469</v>
      </c>
      <c r="D767" s="26" t="s">
        <v>3</v>
      </c>
      <c r="E767" s="26">
        <v>1</v>
      </c>
      <c r="F767" s="26">
        <v>630</v>
      </c>
      <c r="G767" s="27">
        <f>450/630</f>
        <v>0.7142857142857143</v>
      </c>
      <c r="H767" s="28">
        <v>0</v>
      </c>
      <c r="I767" s="30"/>
    </row>
    <row r="768" spans="1:9" ht="15">
      <c r="A768" s="26"/>
      <c r="B768" s="26" t="s">
        <v>377</v>
      </c>
      <c r="C768" s="26"/>
      <c r="D768" s="26" t="s">
        <v>3</v>
      </c>
      <c r="E768" s="26">
        <v>2</v>
      </c>
      <c r="F768" s="26">
        <v>630</v>
      </c>
      <c r="G768" s="27">
        <v>0.71</v>
      </c>
      <c r="H768" s="28">
        <v>0</v>
      </c>
      <c r="I768" s="30"/>
    </row>
    <row r="769" spans="1:9" ht="15">
      <c r="A769" s="26">
        <v>456</v>
      </c>
      <c r="B769" s="26" t="s">
        <v>377</v>
      </c>
      <c r="C769" s="26" t="s">
        <v>506</v>
      </c>
      <c r="D769" s="26" t="s">
        <v>3</v>
      </c>
      <c r="E769" s="26">
        <v>1</v>
      </c>
      <c r="F769" s="26">
        <v>630</v>
      </c>
      <c r="G769" s="27">
        <f>500/630</f>
        <v>0.7936507936507936</v>
      </c>
      <c r="H769" s="28">
        <v>0</v>
      </c>
      <c r="I769" s="30" t="s">
        <v>518</v>
      </c>
    </row>
    <row r="770" spans="1:9" ht="15">
      <c r="A770" s="26">
        <v>457</v>
      </c>
      <c r="B770" s="26" t="s">
        <v>377</v>
      </c>
      <c r="C770" s="26" t="s">
        <v>483</v>
      </c>
      <c r="D770" s="26" t="s">
        <v>3</v>
      </c>
      <c r="E770" s="26">
        <v>1</v>
      </c>
      <c r="F770" s="26">
        <v>250</v>
      </c>
      <c r="G770" s="27">
        <f>240/250</f>
        <v>0.96</v>
      </c>
      <c r="H770" s="28">
        <v>0</v>
      </c>
      <c r="I770" s="30"/>
    </row>
    <row r="771" spans="1:9" ht="15">
      <c r="A771" s="26"/>
      <c r="B771" s="26" t="s">
        <v>377</v>
      </c>
      <c r="C771" s="26"/>
      <c r="D771" s="26" t="s">
        <v>3</v>
      </c>
      <c r="E771" s="26">
        <v>2</v>
      </c>
      <c r="F771" s="26">
        <v>250</v>
      </c>
      <c r="G771" s="27">
        <f>240/250</f>
        <v>0.96</v>
      </c>
      <c r="H771" s="28">
        <v>0</v>
      </c>
      <c r="I771" s="30"/>
    </row>
    <row r="772" spans="1:9" ht="15">
      <c r="A772" s="26">
        <v>458</v>
      </c>
      <c r="B772" s="26" t="s">
        <v>377</v>
      </c>
      <c r="C772" s="26" t="s">
        <v>507</v>
      </c>
      <c r="D772" s="26" t="s">
        <v>3</v>
      </c>
      <c r="E772" s="26">
        <v>1</v>
      </c>
      <c r="F772" s="26">
        <v>160</v>
      </c>
      <c r="G772" s="27">
        <v>0.94</v>
      </c>
      <c r="H772" s="28">
        <v>0</v>
      </c>
      <c r="I772" s="30"/>
    </row>
    <row r="773" spans="1:9" ht="15">
      <c r="A773" s="26">
        <v>459</v>
      </c>
      <c r="B773" s="26" t="s">
        <v>377</v>
      </c>
      <c r="C773" s="26" t="s">
        <v>385</v>
      </c>
      <c r="D773" s="26" t="s">
        <v>6</v>
      </c>
      <c r="E773" s="26">
        <v>1</v>
      </c>
      <c r="F773" s="26">
        <v>400</v>
      </c>
      <c r="G773" s="27">
        <v>0.7</v>
      </c>
      <c r="H773" s="28">
        <f aca="true" t="shared" si="28" ref="H773:H852">0.95*(0.7-G773)*F773</f>
        <v>0</v>
      </c>
      <c r="I773" s="30"/>
    </row>
    <row r="774" spans="1:9" ht="15">
      <c r="A774" s="26"/>
      <c r="B774" s="26" t="s">
        <v>377</v>
      </c>
      <c r="C774" s="26"/>
      <c r="D774" s="26" t="s">
        <v>6</v>
      </c>
      <c r="E774" s="26">
        <v>2</v>
      </c>
      <c r="F774" s="26">
        <v>400</v>
      </c>
      <c r="G774" s="27">
        <v>0.7</v>
      </c>
      <c r="H774" s="28">
        <f t="shared" si="28"/>
        <v>0</v>
      </c>
      <c r="I774" s="30"/>
    </row>
    <row r="775" spans="1:9" ht="15">
      <c r="A775" s="26">
        <v>460</v>
      </c>
      <c r="B775" s="26" t="s">
        <v>377</v>
      </c>
      <c r="C775" s="26" t="s">
        <v>386</v>
      </c>
      <c r="D775" s="26" t="s">
        <v>6</v>
      </c>
      <c r="E775" s="26">
        <v>1</v>
      </c>
      <c r="F775" s="26">
        <v>400</v>
      </c>
      <c r="G775" s="27">
        <v>0.7</v>
      </c>
      <c r="H775" s="28">
        <f t="shared" si="28"/>
        <v>0</v>
      </c>
      <c r="I775" s="30"/>
    </row>
    <row r="776" spans="1:9" ht="15">
      <c r="A776" s="26"/>
      <c r="B776" s="26" t="s">
        <v>377</v>
      </c>
      <c r="C776" s="26"/>
      <c r="D776" s="26" t="s">
        <v>6</v>
      </c>
      <c r="E776" s="26">
        <v>2</v>
      </c>
      <c r="F776" s="26">
        <v>400</v>
      </c>
      <c r="G776" s="27">
        <v>0.7</v>
      </c>
      <c r="H776" s="28">
        <f t="shared" si="28"/>
        <v>0</v>
      </c>
      <c r="I776" s="30"/>
    </row>
    <row r="777" spans="1:9" ht="15">
      <c r="A777" s="26">
        <v>461</v>
      </c>
      <c r="B777" s="26" t="s">
        <v>377</v>
      </c>
      <c r="C777" s="26" t="s">
        <v>470</v>
      </c>
      <c r="D777" s="26" t="s">
        <v>3</v>
      </c>
      <c r="E777" s="26">
        <v>1</v>
      </c>
      <c r="F777" s="26">
        <v>630</v>
      </c>
      <c r="G777" s="27">
        <f>557/630</f>
        <v>0.8841269841269841</v>
      </c>
      <c r="H777" s="28">
        <v>0</v>
      </c>
      <c r="I777" s="30"/>
    </row>
    <row r="778" spans="1:9" ht="15">
      <c r="A778" s="26"/>
      <c r="B778" s="26" t="s">
        <v>377</v>
      </c>
      <c r="C778" s="26"/>
      <c r="D778" s="26" t="s">
        <v>3</v>
      </c>
      <c r="E778" s="26">
        <v>2</v>
      </c>
      <c r="F778" s="26">
        <v>630</v>
      </c>
      <c r="G778" s="27">
        <f>557/630</f>
        <v>0.8841269841269841</v>
      </c>
      <c r="H778" s="28">
        <v>0</v>
      </c>
      <c r="I778" s="30"/>
    </row>
    <row r="779" spans="1:9" ht="15">
      <c r="A779" s="26">
        <v>462</v>
      </c>
      <c r="B779" s="26" t="s">
        <v>377</v>
      </c>
      <c r="C779" s="26" t="s">
        <v>471</v>
      </c>
      <c r="D779" s="26" t="s">
        <v>6</v>
      </c>
      <c r="E779" s="26">
        <v>1</v>
      </c>
      <c r="F779" s="26">
        <v>630</v>
      </c>
      <c r="G779" s="27">
        <f>400/630</f>
        <v>0.6349206349206349</v>
      </c>
      <c r="H779" s="28">
        <f t="shared" si="28"/>
        <v>38.94999999999999</v>
      </c>
      <c r="I779" s="30"/>
    </row>
    <row r="780" spans="1:9" ht="15">
      <c r="A780" s="26">
        <v>463</v>
      </c>
      <c r="B780" s="26" t="s">
        <v>377</v>
      </c>
      <c r="C780" s="26" t="s">
        <v>472</v>
      </c>
      <c r="D780" s="26" t="s">
        <v>3</v>
      </c>
      <c r="E780" s="26">
        <v>1</v>
      </c>
      <c r="F780" s="26">
        <v>1250</v>
      </c>
      <c r="G780" s="27">
        <v>0.9</v>
      </c>
      <c r="H780" s="28">
        <v>0</v>
      </c>
      <c r="I780" s="30"/>
    </row>
    <row r="781" spans="1:9" ht="15">
      <c r="A781" s="26"/>
      <c r="B781" s="26" t="s">
        <v>377</v>
      </c>
      <c r="C781" s="26"/>
      <c r="D781" s="26" t="s">
        <v>3</v>
      </c>
      <c r="E781" s="26">
        <v>2</v>
      </c>
      <c r="F781" s="26">
        <v>1250</v>
      </c>
      <c r="G781" s="27">
        <v>0.9</v>
      </c>
      <c r="H781" s="28">
        <v>0</v>
      </c>
      <c r="I781" s="30"/>
    </row>
    <row r="782" spans="1:9" ht="15">
      <c r="A782" s="26">
        <v>464</v>
      </c>
      <c r="B782" s="26" t="s">
        <v>377</v>
      </c>
      <c r="C782" s="26" t="s">
        <v>508</v>
      </c>
      <c r="D782" s="26" t="s">
        <v>3</v>
      </c>
      <c r="E782" s="26">
        <v>1</v>
      </c>
      <c r="F782" s="26">
        <v>630</v>
      </c>
      <c r="G782" s="27">
        <v>0.8</v>
      </c>
      <c r="H782" s="28">
        <v>0</v>
      </c>
      <c r="I782" s="30"/>
    </row>
    <row r="783" spans="1:9" ht="15">
      <c r="A783" s="26"/>
      <c r="B783" s="26" t="s">
        <v>377</v>
      </c>
      <c r="C783" s="26"/>
      <c r="D783" s="26" t="s">
        <v>3</v>
      </c>
      <c r="E783" s="26">
        <v>2</v>
      </c>
      <c r="F783" s="26">
        <v>630</v>
      </c>
      <c r="G783" s="27">
        <v>0.8</v>
      </c>
      <c r="H783" s="28">
        <v>0</v>
      </c>
      <c r="I783" s="30"/>
    </row>
    <row r="784" spans="1:9" ht="15">
      <c r="A784" s="26">
        <v>465</v>
      </c>
      <c r="B784" s="26" t="s">
        <v>377</v>
      </c>
      <c r="C784" s="26" t="s">
        <v>473</v>
      </c>
      <c r="D784" s="26" t="s">
        <v>3</v>
      </c>
      <c r="E784" s="26">
        <v>1</v>
      </c>
      <c r="F784" s="26">
        <v>630</v>
      </c>
      <c r="G784" s="27">
        <v>0.95</v>
      </c>
      <c r="H784" s="28">
        <v>0</v>
      </c>
      <c r="I784" s="30"/>
    </row>
    <row r="785" spans="1:9" ht="15">
      <c r="A785" s="26"/>
      <c r="B785" s="26" t="s">
        <v>377</v>
      </c>
      <c r="C785" s="26"/>
      <c r="D785" s="26" t="s">
        <v>3</v>
      </c>
      <c r="E785" s="26">
        <v>2</v>
      </c>
      <c r="F785" s="26">
        <v>630</v>
      </c>
      <c r="G785" s="27">
        <v>0.95</v>
      </c>
      <c r="H785" s="28">
        <v>0</v>
      </c>
      <c r="I785" s="30"/>
    </row>
    <row r="786" spans="1:9" ht="15">
      <c r="A786" s="26">
        <v>466</v>
      </c>
      <c r="B786" s="26" t="s">
        <v>377</v>
      </c>
      <c r="C786" s="26" t="s">
        <v>474</v>
      </c>
      <c r="D786" s="26" t="s">
        <v>3</v>
      </c>
      <c r="E786" s="26">
        <v>1</v>
      </c>
      <c r="F786" s="26">
        <v>630</v>
      </c>
      <c r="G786" s="27">
        <v>0.95</v>
      </c>
      <c r="H786" s="28">
        <v>0</v>
      </c>
      <c r="I786" s="30"/>
    </row>
    <row r="787" spans="1:9" ht="15">
      <c r="A787" s="26"/>
      <c r="B787" s="26" t="s">
        <v>377</v>
      </c>
      <c r="C787" s="26"/>
      <c r="D787" s="26" t="s">
        <v>3</v>
      </c>
      <c r="E787" s="26">
        <v>2</v>
      </c>
      <c r="F787" s="26">
        <v>630</v>
      </c>
      <c r="G787" s="27">
        <v>0.95</v>
      </c>
      <c r="H787" s="28">
        <v>0</v>
      </c>
      <c r="I787" s="30"/>
    </row>
    <row r="788" spans="1:9" ht="15">
      <c r="A788" s="26"/>
      <c r="B788" s="26" t="s">
        <v>377</v>
      </c>
      <c r="C788" s="26" t="s">
        <v>524</v>
      </c>
      <c r="D788" s="26" t="s">
        <v>3</v>
      </c>
      <c r="E788" s="26">
        <v>1</v>
      </c>
      <c r="F788" s="26">
        <v>400</v>
      </c>
      <c r="G788" s="27">
        <f>350/400</f>
        <v>0.875</v>
      </c>
      <c r="H788" s="28">
        <v>0</v>
      </c>
      <c r="I788" s="26"/>
    </row>
    <row r="789" spans="1:9" ht="15">
      <c r="A789" s="26"/>
      <c r="B789" s="26" t="s">
        <v>377</v>
      </c>
      <c r="C789" s="26"/>
      <c r="D789" s="26" t="s">
        <v>3</v>
      </c>
      <c r="E789" s="26">
        <v>2</v>
      </c>
      <c r="F789" s="26">
        <v>400</v>
      </c>
      <c r="G789" s="27">
        <f>350/400</f>
        <v>0.875</v>
      </c>
      <c r="H789" s="28">
        <v>0</v>
      </c>
      <c r="I789" s="26"/>
    </row>
    <row r="790" spans="1:9" ht="15">
      <c r="A790" s="26">
        <v>467</v>
      </c>
      <c r="B790" s="26" t="s">
        <v>377</v>
      </c>
      <c r="C790" s="26" t="s">
        <v>481</v>
      </c>
      <c r="D790" s="26" t="s">
        <v>3</v>
      </c>
      <c r="E790" s="26">
        <v>1</v>
      </c>
      <c r="F790" s="26">
        <v>630</v>
      </c>
      <c r="G790" s="27">
        <v>0.9</v>
      </c>
      <c r="H790" s="28">
        <v>0</v>
      </c>
      <c r="I790" s="30"/>
    </row>
    <row r="791" spans="1:9" ht="15">
      <c r="A791" s="26"/>
      <c r="B791" s="26" t="s">
        <v>377</v>
      </c>
      <c r="C791" s="26"/>
      <c r="D791" s="26" t="s">
        <v>3</v>
      </c>
      <c r="E791" s="26">
        <v>2</v>
      </c>
      <c r="F791" s="26">
        <v>630</v>
      </c>
      <c r="G791" s="27">
        <v>0.9</v>
      </c>
      <c r="H791" s="28">
        <v>0</v>
      </c>
      <c r="I791" s="30"/>
    </row>
    <row r="792" spans="1:9" ht="15">
      <c r="A792" s="26">
        <v>468</v>
      </c>
      <c r="B792" s="26" t="s">
        <v>377</v>
      </c>
      <c r="C792" s="26" t="s">
        <v>525</v>
      </c>
      <c r="D792" s="26" t="s">
        <v>3</v>
      </c>
      <c r="E792" s="26">
        <v>1</v>
      </c>
      <c r="F792" s="26">
        <v>250</v>
      </c>
      <c r="G792" s="27">
        <v>0.9</v>
      </c>
      <c r="H792" s="28">
        <v>0</v>
      </c>
      <c r="I792" s="30"/>
    </row>
    <row r="793" spans="1:9" ht="15">
      <c r="A793" s="26"/>
      <c r="B793" s="26" t="s">
        <v>377</v>
      </c>
      <c r="C793" s="26"/>
      <c r="D793" s="26" t="s">
        <v>3</v>
      </c>
      <c r="E793" s="26">
        <v>2</v>
      </c>
      <c r="F793" s="26">
        <v>250</v>
      </c>
      <c r="G793" s="27">
        <v>0.9</v>
      </c>
      <c r="H793" s="28">
        <v>0</v>
      </c>
      <c r="I793" s="30"/>
    </row>
    <row r="794" spans="1:9" ht="15">
      <c r="A794" s="26">
        <v>469</v>
      </c>
      <c r="B794" s="26" t="s">
        <v>377</v>
      </c>
      <c r="C794" s="26" t="s">
        <v>478</v>
      </c>
      <c r="D794" s="26" t="s">
        <v>3</v>
      </c>
      <c r="E794" s="26">
        <v>1</v>
      </c>
      <c r="F794" s="26">
        <v>400</v>
      </c>
      <c r="G794" s="27">
        <f>210/400+15/400</f>
        <v>0.5625</v>
      </c>
      <c r="H794" s="28">
        <f t="shared" si="28"/>
        <v>52.249999999999986</v>
      </c>
      <c r="I794" s="30"/>
    </row>
    <row r="795" spans="1:9" ht="15">
      <c r="A795" s="26">
        <v>470</v>
      </c>
      <c r="B795" s="26" t="s">
        <v>377</v>
      </c>
      <c r="C795" s="26" t="s">
        <v>479</v>
      </c>
      <c r="D795" s="26" t="s">
        <v>3</v>
      </c>
      <c r="E795" s="26">
        <v>1</v>
      </c>
      <c r="F795" s="26">
        <v>250</v>
      </c>
      <c r="G795" s="27">
        <f>150/250+15/250+15/250</f>
        <v>0.72</v>
      </c>
      <c r="H795" s="28">
        <v>0</v>
      </c>
      <c r="I795" s="30"/>
    </row>
    <row r="796" spans="1:9" ht="15">
      <c r="A796" s="26">
        <v>471</v>
      </c>
      <c r="B796" s="26" t="s">
        <v>377</v>
      </c>
      <c r="C796" s="26" t="s">
        <v>480</v>
      </c>
      <c r="D796" s="26" t="s">
        <v>3</v>
      </c>
      <c r="E796" s="26">
        <v>1</v>
      </c>
      <c r="F796" s="26">
        <v>400</v>
      </c>
      <c r="G796" s="27">
        <f>265/400+15/400+30/400</f>
        <v>0.7749999999999999</v>
      </c>
      <c r="H796" s="28">
        <v>0</v>
      </c>
      <c r="I796" s="30"/>
    </row>
    <row r="797" spans="1:9" ht="15">
      <c r="A797" s="26">
        <v>472</v>
      </c>
      <c r="B797" s="26" t="s">
        <v>377</v>
      </c>
      <c r="C797" s="26" t="s">
        <v>482</v>
      </c>
      <c r="D797" s="26" t="s">
        <v>3</v>
      </c>
      <c r="E797" s="26">
        <v>1</v>
      </c>
      <c r="F797" s="26">
        <v>250</v>
      </c>
      <c r="G797" s="27">
        <f>145/250</f>
        <v>0.58</v>
      </c>
      <c r="H797" s="28">
        <f t="shared" si="28"/>
        <v>28.499999999999996</v>
      </c>
      <c r="I797" s="30"/>
    </row>
    <row r="798" spans="1:9" ht="15">
      <c r="A798" s="26">
        <v>473</v>
      </c>
      <c r="B798" s="26" t="s">
        <v>377</v>
      </c>
      <c r="C798" s="26" t="s">
        <v>509</v>
      </c>
      <c r="D798" s="26" t="s">
        <v>3</v>
      </c>
      <c r="E798" s="26">
        <v>1</v>
      </c>
      <c r="F798" s="26">
        <v>25</v>
      </c>
      <c r="G798" s="27">
        <v>0.9</v>
      </c>
      <c r="H798" s="28">
        <v>0</v>
      </c>
      <c r="I798" s="30"/>
    </row>
    <row r="799" spans="1:9" ht="15">
      <c r="A799" s="26">
        <v>474</v>
      </c>
      <c r="B799" s="26" t="s">
        <v>377</v>
      </c>
      <c r="C799" s="26" t="s">
        <v>526</v>
      </c>
      <c r="D799" s="26" t="s">
        <v>6</v>
      </c>
      <c r="E799" s="26">
        <v>1</v>
      </c>
      <c r="F799" s="26">
        <v>25</v>
      </c>
      <c r="G799" s="27">
        <v>0.6</v>
      </c>
      <c r="H799" s="28">
        <f t="shared" si="28"/>
        <v>2.374999999999999</v>
      </c>
      <c r="I799" s="30"/>
    </row>
    <row r="800" spans="1:9" ht="15">
      <c r="A800" s="26">
        <v>475</v>
      </c>
      <c r="B800" s="26" t="s">
        <v>377</v>
      </c>
      <c r="C800" s="26" t="s">
        <v>510</v>
      </c>
      <c r="D800" s="26" t="s">
        <v>6</v>
      </c>
      <c r="E800" s="26">
        <v>1</v>
      </c>
      <c r="F800" s="26">
        <v>160</v>
      </c>
      <c r="G800" s="27">
        <f>150/160</f>
        <v>0.9375</v>
      </c>
      <c r="H800" s="28">
        <v>0</v>
      </c>
      <c r="I800" s="30"/>
    </row>
    <row r="801" spans="1:9" ht="15">
      <c r="A801" s="26"/>
      <c r="B801" s="26" t="s">
        <v>377</v>
      </c>
      <c r="C801" s="26"/>
      <c r="D801" s="26" t="s">
        <v>6</v>
      </c>
      <c r="E801" s="26">
        <v>2</v>
      </c>
      <c r="F801" s="26">
        <v>160</v>
      </c>
      <c r="G801" s="27">
        <v>0.94</v>
      </c>
      <c r="H801" s="28">
        <v>0</v>
      </c>
      <c r="I801" s="30"/>
    </row>
    <row r="802" spans="1:9" ht="15">
      <c r="A802" s="26">
        <v>476</v>
      </c>
      <c r="B802" s="26" t="s">
        <v>377</v>
      </c>
      <c r="C802" s="26" t="s">
        <v>533</v>
      </c>
      <c r="D802" s="26" t="s">
        <v>3</v>
      </c>
      <c r="E802" s="26">
        <v>1</v>
      </c>
      <c r="F802" s="26">
        <v>250</v>
      </c>
      <c r="G802" s="27">
        <v>0.9</v>
      </c>
      <c r="H802" s="28">
        <v>0</v>
      </c>
      <c r="I802" s="30"/>
    </row>
    <row r="803" spans="1:9" ht="15">
      <c r="A803" s="26"/>
      <c r="B803" s="26" t="s">
        <v>377</v>
      </c>
      <c r="C803" s="26"/>
      <c r="D803" s="26" t="s">
        <v>3</v>
      </c>
      <c r="E803" s="26">
        <v>2</v>
      </c>
      <c r="F803" s="26">
        <v>250</v>
      </c>
      <c r="G803" s="27">
        <v>0.9</v>
      </c>
      <c r="H803" s="28">
        <v>0</v>
      </c>
      <c r="I803" s="30"/>
    </row>
    <row r="804" spans="1:9" ht="15">
      <c r="A804" s="26">
        <v>477</v>
      </c>
      <c r="B804" s="26" t="s">
        <v>377</v>
      </c>
      <c r="C804" s="26" t="s">
        <v>527</v>
      </c>
      <c r="D804" s="26" t="s">
        <v>3</v>
      </c>
      <c r="E804" s="26">
        <v>1</v>
      </c>
      <c r="F804" s="26">
        <v>250</v>
      </c>
      <c r="G804" s="27">
        <f>75/250+15/250</f>
        <v>0.36</v>
      </c>
      <c r="H804" s="28">
        <f>0.95*(0.7-G804)*F804</f>
        <v>80.74999999999999</v>
      </c>
      <c r="I804" s="30"/>
    </row>
    <row r="805" spans="1:9" ht="15">
      <c r="A805" s="26">
        <v>478</v>
      </c>
      <c r="B805" s="26" t="s">
        <v>377</v>
      </c>
      <c r="C805" s="26" t="s">
        <v>528</v>
      </c>
      <c r="D805" s="26" t="s">
        <v>3</v>
      </c>
      <c r="E805" s="26">
        <v>1</v>
      </c>
      <c r="F805" s="26">
        <v>160</v>
      </c>
      <c r="G805" s="27">
        <f>150/160</f>
        <v>0.9375</v>
      </c>
      <c r="H805" s="28">
        <v>0</v>
      </c>
      <c r="I805" s="30"/>
    </row>
    <row r="806" spans="1:9" ht="15">
      <c r="A806" s="26">
        <v>479</v>
      </c>
      <c r="B806" s="26" t="s">
        <v>377</v>
      </c>
      <c r="C806" s="26" t="s">
        <v>529</v>
      </c>
      <c r="D806" s="26" t="s">
        <v>6</v>
      </c>
      <c r="E806" s="26">
        <v>1</v>
      </c>
      <c r="F806" s="26">
        <v>250</v>
      </c>
      <c r="G806" s="27">
        <v>0.6</v>
      </c>
      <c r="H806" s="28">
        <f>0.95*(0.7-G806)*F806</f>
        <v>23.749999999999993</v>
      </c>
      <c r="I806" s="30"/>
    </row>
    <row r="807" spans="1:9" ht="15">
      <c r="A807" s="26">
        <v>480</v>
      </c>
      <c r="B807" s="26" t="s">
        <v>377</v>
      </c>
      <c r="C807" s="26" t="s">
        <v>530</v>
      </c>
      <c r="D807" s="26" t="s">
        <v>3</v>
      </c>
      <c r="E807" s="26">
        <v>1</v>
      </c>
      <c r="F807" s="26">
        <v>250</v>
      </c>
      <c r="G807" s="27">
        <v>0.5</v>
      </c>
      <c r="H807" s="28">
        <f>0.95*(0.7-G807)*F807</f>
        <v>47.499999999999986</v>
      </c>
      <c r="I807" s="30"/>
    </row>
    <row r="808" spans="1:9" ht="15">
      <c r="A808" s="26"/>
      <c r="B808" s="26" t="s">
        <v>377</v>
      </c>
      <c r="C808" s="26"/>
      <c r="D808" s="26" t="s">
        <v>3</v>
      </c>
      <c r="E808" s="26">
        <v>2</v>
      </c>
      <c r="F808" s="26">
        <v>250</v>
      </c>
      <c r="G808" s="27">
        <v>0.5</v>
      </c>
      <c r="H808" s="28">
        <f>0.95*(0.7-G808)*F808</f>
        <v>47.499999999999986</v>
      </c>
      <c r="I808" s="30"/>
    </row>
    <row r="809" spans="1:9" ht="15">
      <c r="A809" s="26"/>
      <c r="B809" s="26" t="s">
        <v>377</v>
      </c>
      <c r="C809" s="26" t="s">
        <v>538</v>
      </c>
      <c r="D809" s="26" t="s">
        <v>3</v>
      </c>
      <c r="E809" s="26">
        <v>1</v>
      </c>
      <c r="F809" s="26">
        <v>630</v>
      </c>
      <c r="G809" s="27">
        <f>600/630</f>
        <v>0.9523809523809523</v>
      </c>
      <c r="H809" s="28">
        <v>0</v>
      </c>
      <c r="I809" s="30"/>
    </row>
    <row r="810" spans="1:9" ht="15">
      <c r="A810" s="26"/>
      <c r="B810" s="26" t="s">
        <v>377</v>
      </c>
      <c r="C810" s="26"/>
      <c r="D810" s="26" t="s">
        <v>3</v>
      </c>
      <c r="E810" s="26">
        <v>2</v>
      </c>
      <c r="F810" s="26">
        <v>630</v>
      </c>
      <c r="G810" s="27">
        <f>600/630</f>
        <v>0.9523809523809523</v>
      </c>
      <c r="H810" s="28">
        <v>0</v>
      </c>
      <c r="I810" s="30"/>
    </row>
    <row r="811" spans="1:9" ht="15">
      <c r="A811" s="26"/>
      <c r="B811" s="26" t="s">
        <v>377</v>
      </c>
      <c r="C811" s="26" t="s">
        <v>539</v>
      </c>
      <c r="D811" s="26" t="s">
        <v>6</v>
      </c>
      <c r="E811" s="26">
        <v>1</v>
      </c>
      <c r="F811" s="26">
        <v>25</v>
      </c>
      <c r="G811" s="27">
        <f>15/25</f>
        <v>0.6</v>
      </c>
      <c r="H811" s="28">
        <f>0.95*(0.7-G811)*F811</f>
        <v>2.374999999999999</v>
      </c>
      <c r="I811" s="30"/>
    </row>
    <row r="812" spans="1:9" ht="15">
      <c r="A812" s="26">
        <v>481</v>
      </c>
      <c r="B812" s="26" t="s">
        <v>377</v>
      </c>
      <c r="C812" s="26" t="s">
        <v>391</v>
      </c>
      <c r="D812" s="26" t="s">
        <v>6</v>
      </c>
      <c r="E812" s="26">
        <v>1</v>
      </c>
      <c r="F812" s="26">
        <v>250</v>
      </c>
      <c r="G812" s="27">
        <v>0.7</v>
      </c>
      <c r="H812" s="28">
        <f t="shared" si="28"/>
        <v>0</v>
      </c>
      <c r="I812" s="30"/>
    </row>
    <row r="813" spans="1:9" ht="15">
      <c r="A813" s="26">
        <v>482</v>
      </c>
      <c r="B813" s="26" t="s">
        <v>377</v>
      </c>
      <c r="C813" s="26" t="s">
        <v>390</v>
      </c>
      <c r="D813" s="26" t="s">
        <v>6</v>
      </c>
      <c r="E813" s="26">
        <v>1</v>
      </c>
      <c r="F813" s="26">
        <v>160</v>
      </c>
      <c r="G813" s="27">
        <v>0.7</v>
      </c>
      <c r="H813" s="28">
        <f t="shared" si="28"/>
        <v>0</v>
      </c>
      <c r="I813" s="30"/>
    </row>
    <row r="814" spans="1:9" ht="15">
      <c r="A814" s="26">
        <v>483</v>
      </c>
      <c r="B814" s="26" t="s">
        <v>377</v>
      </c>
      <c r="C814" s="26" t="s">
        <v>511</v>
      </c>
      <c r="D814" s="26" t="s">
        <v>6</v>
      </c>
      <c r="E814" s="26">
        <v>1</v>
      </c>
      <c r="F814" s="26">
        <v>630</v>
      </c>
      <c r="G814" s="27">
        <v>0.7</v>
      </c>
      <c r="H814" s="28">
        <f t="shared" si="28"/>
        <v>0</v>
      </c>
      <c r="I814" s="30"/>
    </row>
    <row r="815" spans="1:9" ht="15">
      <c r="A815" s="26">
        <v>484</v>
      </c>
      <c r="B815" s="26" t="s">
        <v>377</v>
      </c>
      <c r="C815" s="26" t="s">
        <v>388</v>
      </c>
      <c r="D815" s="26" t="s">
        <v>6</v>
      </c>
      <c r="E815" s="26">
        <v>1</v>
      </c>
      <c r="F815" s="26">
        <v>630</v>
      </c>
      <c r="G815" s="27">
        <v>0.7</v>
      </c>
      <c r="H815" s="28">
        <f t="shared" si="28"/>
        <v>0</v>
      </c>
      <c r="I815" s="30"/>
    </row>
    <row r="816" spans="1:9" ht="15">
      <c r="A816" s="26">
        <v>485</v>
      </c>
      <c r="B816" s="26" t="s">
        <v>377</v>
      </c>
      <c r="C816" s="26" t="s">
        <v>389</v>
      </c>
      <c r="D816" s="26" t="s">
        <v>6</v>
      </c>
      <c r="E816" s="26">
        <v>1</v>
      </c>
      <c r="F816" s="26">
        <v>630</v>
      </c>
      <c r="G816" s="27">
        <v>0.7</v>
      </c>
      <c r="H816" s="28">
        <f t="shared" si="28"/>
        <v>0</v>
      </c>
      <c r="I816" s="30"/>
    </row>
    <row r="817" spans="1:9" ht="15">
      <c r="A817" s="26">
        <v>486</v>
      </c>
      <c r="B817" s="26" t="s">
        <v>377</v>
      </c>
      <c r="C817" s="26" t="s">
        <v>475</v>
      </c>
      <c r="D817" s="26" t="s">
        <v>3</v>
      </c>
      <c r="E817" s="26">
        <v>1</v>
      </c>
      <c r="F817" s="26">
        <v>250</v>
      </c>
      <c r="G817" s="27">
        <v>0.7</v>
      </c>
      <c r="H817" s="28">
        <f t="shared" si="28"/>
        <v>0</v>
      </c>
      <c r="I817" s="30"/>
    </row>
    <row r="818" spans="1:9" ht="15">
      <c r="A818" s="26">
        <v>487</v>
      </c>
      <c r="B818" s="26" t="s">
        <v>377</v>
      </c>
      <c r="C818" s="26" t="s">
        <v>477</v>
      </c>
      <c r="D818" s="26" t="s">
        <v>3</v>
      </c>
      <c r="E818" s="26">
        <v>1</v>
      </c>
      <c r="F818" s="26">
        <v>250</v>
      </c>
      <c r="G818" s="27">
        <v>0.7</v>
      </c>
      <c r="H818" s="28">
        <f t="shared" si="28"/>
        <v>0</v>
      </c>
      <c r="I818" s="30"/>
    </row>
    <row r="819" spans="1:9" ht="15">
      <c r="A819" s="26">
        <v>488</v>
      </c>
      <c r="B819" s="26" t="s">
        <v>377</v>
      </c>
      <c r="C819" s="26" t="s">
        <v>354</v>
      </c>
      <c r="D819" s="26" t="s">
        <v>3</v>
      </c>
      <c r="E819" s="26">
        <v>1</v>
      </c>
      <c r="F819" s="26">
        <v>250</v>
      </c>
      <c r="G819" s="27">
        <v>0.69</v>
      </c>
      <c r="H819" s="28">
        <f t="shared" si="28"/>
        <v>2.375000000000002</v>
      </c>
      <c r="I819" s="30"/>
    </row>
    <row r="820" spans="1:9" ht="15">
      <c r="A820" s="26">
        <v>489</v>
      </c>
      <c r="B820" s="26" t="s">
        <v>377</v>
      </c>
      <c r="C820" s="26" t="s">
        <v>355</v>
      </c>
      <c r="D820" s="26" t="s">
        <v>3</v>
      </c>
      <c r="E820" s="26">
        <v>1</v>
      </c>
      <c r="F820" s="26">
        <v>400</v>
      </c>
      <c r="G820" s="27">
        <v>0.47</v>
      </c>
      <c r="H820" s="28">
        <f t="shared" si="28"/>
        <v>87.39999999999999</v>
      </c>
      <c r="I820" s="30"/>
    </row>
    <row r="821" spans="1:9" ht="15">
      <c r="A821" s="26"/>
      <c r="B821" s="26"/>
      <c r="C821" s="26"/>
      <c r="D821" s="26" t="s">
        <v>3</v>
      </c>
      <c r="E821" s="26">
        <v>2</v>
      </c>
      <c r="F821" s="26">
        <v>400</v>
      </c>
      <c r="G821" s="27">
        <v>0.47</v>
      </c>
      <c r="H821" s="28">
        <f t="shared" si="28"/>
        <v>87.39999999999999</v>
      </c>
      <c r="I821" s="30"/>
    </row>
    <row r="822" spans="1:9" ht="15">
      <c r="A822" s="26">
        <v>490</v>
      </c>
      <c r="B822" s="26" t="s">
        <v>377</v>
      </c>
      <c r="C822" s="26" t="s">
        <v>356</v>
      </c>
      <c r="D822" s="26" t="s">
        <v>3</v>
      </c>
      <c r="E822" s="26">
        <v>1</v>
      </c>
      <c r="F822" s="26">
        <v>100</v>
      </c>
      <c r="G822" s="27">
        <v>0.6</v>
      </c>
      <c r="H822" s="28">
        <f t="shared" si="28"/>
        <v>9.499999999999996</v>
      </c>
      <c r="I822" s="30"/>
    </row>
    <row r="823" spans="1:9" ht="15">
      <c r="A823" s="26">
        <v>485</v>
      </c>
      <c r="B823" s="26" t="s">
        <v>377</v>
      </c>
      <c r="C823" s="26" t="s">
        <v>357</v>
      </c>
      <c r="D823" s="26" t="s">
        <v>3</v>
      </c>
      <c r="E823" s="26">
        <v>1</v>
      </c>
      <c r="F823" s="26">
        <v>250</v>
      </c>
      <c r="G823" s="27">
        <v>0.65</v>
      </c>
      <c r="H823" s="28">
        <f t="shared" si="28"/>
        <v>11.874999999999982</v>
      </c>
      <c r="I823" s="30"/>
    </row>
    <row r="824" spans="1:9" ht="15">
      <c r="A824" s="26">
        <v>486</v>
      </c>
      <c r="B824" s="26" t="s">
        <v>377</v>
      </c>
      <c r="C824" s="26" t="s">
        <v>353</v>
      </c>
      <c r="D824" s="26" t="s">
        <v>3</v>
      </c>
      <c r="E824" s="26">
        <v>1</v>
      </c>
      <c r="F824" s="26">
        <v>250</v>
      </c>
      <c r="G824" s="27">
        <f>0.58+27/250</f>
        <v>0.688</v>
      </c>
      <c r="H824" s="28">
        <f t="shared" si="28"/>
        <v>2.8500000000000023</v>
      </c>
      <c r="I824" s="30"/>
    </row>
    <row r="825" spans="1:9" ht="15">
      <c r="A825" s="26">
        <v>487</v>
      </c>
      <c r="B825" s="26" t="s">
        <v>377</v>
      </c>
      <c r="C825" s="26" t="s">
        <v>358</v>
      </c>
      <c r="D825" s="26" t="s">
        <v>3</v>
      </c>
      <c r="E825" s="26">
        <v>1</v>
      </c>
      <c r="F825" s="26">
        <v>250</v>
      </c>
      <c r="G825" s="27">
        <v>0.4</v>
      </c>
      <c r="H825" s="28">
        <f t="shared" si="28"/>
        <v>71.24999999999999</v>
      </c>
      <c r="I825" s="30"/>
    </row>
    <row r="826" spans="1:9" ht="15">
      <c r="A826" s="26">
        <v>488</v>
      </c>
      <c r="B826" s="26" t="s">
        <v>377</v>
      </c>
      <c r="C826" s="26" t="s">
        <v>512</v>
      </c>
      <c r="D826" s="26" t="s">
        <v>6</v>
      </c>
      <c r="E826" s="26">
        <v>1</v>
      </c>
      <c r="F826" s="26">
        <v>630</v>
      </c>
      <c r="G826" s="27">
        <v>0.95</v>
      </c>
      <c r="H826" s="28">
        <v>0</v>
      </c>
      <c r="I826" s="30" t="s">
        <v>518</v>
      </c>
    </row>
    <row r="827" spans="1:9" ht="15">
      <c r="A827" s="26">
        <v>489</v>
      </c>
      <c r="B827" s="26" t="s">
        <v>377</v>
      </c>
      <c r="C827" s="26" t="s">
        <v>513</v>
      </c>
      <c r="D827" s="26" t="s">
        <v>6</v>
      </c>
      <c r="E827" s="26">
        <v>1</v>
      </c>
      <c r="F827" s="26">
        <v>630</v>
      </c>
      <c r="G827" s="27">
        <v>0.95</v>
      </c>
      <c r="H827" s="28">
        <v>0</v>
      </c>
      <c r="I827" s="30" t="s">
        <v>518</v>
      </c>
    </row>
    <row r="828" spans="1:9" ht="15">
      <c r="A828" s="26">
        <v>490</v>
      </c>
      <c r="B828" s="26" t="s">
        <v>377</v>
      </c>
      <c r="C828" s="26" t="s">
        <v>514</v>
      </c>
      <c r="D828" s="26" t="s">
        <v>3</v>
      </c>
      <c r="E828" s="26">
        <v>1</v>
      </c>
      <c r="F828" s="26">
        <v>630</v>
      </c>
      <c r="G828" s="27">
        <v>0.8</v>
      </c>
      <c r="H828" s="28">
        <v>0</v>
      </c>
      <c r="I828" s="30" t="s">
        <v>518</v>
      </c>
    </row>
    <row r="829" spans="1:9" ht="15">
      <c r="A829" s="26"/>
      <c r="B829" s="26" t="s">
        <v>377</v>
      </c>
      <c r="C829" s="26"/>
      <c r="D829" s="26" t="s">
        <v>3</v>
      </c>
      <c r="E829" s="26">
        <v>2</v>
      </c>
      <c r="F829" s="26">
        <v>630</v>
      </c>
      <c r="G829" s="27">
        <v>0.8</v>
      </c>
      <c r="H829" s="28">
        <v>0</v>
      </c>
      <c r="I829" s="30"/>
    </row>
    <row r="830" spans="1:9" ht="15">
      <c r="A830" s="26">
        <v>491</v>
      </c>
      <c r="B830" s="26" t="s">
        <v>377</v>
      </c>
      <c r="C830" s="26" t="s">
        <v>516</v>
      </c>
      <c r="D830" s="26" t="s">
        <v>3</v>
      </c>
      <c r="E830" s="26">
        <v>1</v>
      </c>
      <c r="F830" s="26">
        <v>160</v>
      </c>
      <c r="G830" s="27">
        <v>1</v>
      </c>
      <c r="H830" s="28">
        <v>0</v>
      </c>
      <c r="I830" s="30"/>
    </row>
    <row r="831" spans="1:9" ht="15">
      <c r="A831" s="26">
        <v>492</v>
      </c>
      <c r="B831" s="26" t="s">
        <v>377</v>
      </c>
      <c r="C831" s="26" t="s">
        <v>515</v>
      </c>
      <c r="D831" s="26" t="s">
        <v>3</v>
      </c>
      <c r="E831" s="26">
        <v>1</v>
      </c>
      <c r="F831" s="26">
        <v>400</v>
      </c>
      <c r="G831" s="27">
        <v>1</v>
      </c>
      <c r="H831" s="28">
        <v>0</v>
      </c>
      <c r="I831" s="30"/>
    </row>
    <row r="832" spans="1:9" ht="15">
      <c r="A832" s="26">
        <v>493</v>
      </c>
      <c r="B832" s="26" t="s">
        <v>377</v>
      </c>
      <c r="C832" s="26" t="s">
        <v>360</v>
      </c>
      <c r="D832" s="26" t="s">
        <v>6</v>
      </c>
      <c r="E832" s="26">
        <v>1</v>
      </c>
      <c r="F832" s="26">
        <v>320</v>
      </c>
      <c r="G832" s="27">
        <f>0.47</f>
        <v>0.47</v>
      </c>
      <c r="H832" s="28">
        <f t="shared" si="28"/>
        <v>69.91999999999999</v>
      </c>
      <c r="I832" s="30"/>
    </row>
    <row r="833" spans="1:9" ht="15">
      <c r="A833" s="26">
        <v>494</v>
      </c>
      <c r="B833" s="26" t="s">
        <v>377</v>
      </c>
      <c r="C833" s="26" t="s">
        <v>361</v>
      </c>
      <c r="D833" s="26" t="s">
        <v>6</v>
      </c>
      <c r="E833" s="26">
        <v>1</v>
      </c>
      <c r="F833" s="26">
        <v>400</v>
      </c>
      <c r="G833" s="27">
        <f>0.2+100/400</f>
        <v>0.45</v>
      </c>
      <c r="H833" s="28">
        <f t="shared" si="28"/>
        <v>94.99999999999997</v>
      </c>
      <c r="I833" s="30"/>
    </row>
    <row r="834" spans="1:9" ht="15">
      <c r="A834" s="26">
        <v>495</v>
      </c>
      <c r="B834" s="26" t="s">
        <v>377</v>
      </c>
      <c r="C834" s="26" t="s">
        <v>362</v>
      </c>
      <c r="D834" s="26" t="s">
        <v>3</v>
      </c>
      <c r="E834" s="26">
        <v>1</v>
      </c>
      <c r="F834" s="26">
        <v>400</v>
      </c>
      <c r="G834" s="27">
        <v>0.65</v>
      </c>
      <c r="H834" s="28">
        <f t="shared" si="28"/>
        <v>18.99999999999997</v>
      </c>
      <c r="I834" s="30"/>
    </row>
    <row r="835" spans="1:9" ht="15">
      <c r="A835" s="26"/>
      <c r="B835" s="26" t="s">
        <v>377</v>
      </c>
      <c r="C835" s="26"/>
      <c r="D835" s="26" t="s">
        <v>3</v>
      </c>
      <c r="E835" s="26">
        <v>2</v>
      </c>
      <c r="F835" s="26">
        <v>400</v>
      </c>
      <c r="G835" s="27">
        <v>0.59</v>
      </c>
      <c r="H835" s="28">
        <f>0.95*(0.7-G835)*F835</f>
        <v>41.79999999999999</v>
      </c>
      <c r="I835" s="30"/>
    </row>
    <row r="836" spans="1:9" ht="15">
      <c r="A836" s="26">
        <v>496</v>
      </c>
      <c r="B836" s="26" t="s">
        <v>377</v>
      </c>
      <c r="C836" s="26" t="s">
        <v>363</v>
      </c>
      <c r="D836" s="26" t="s">
        <v>3</v>
      </c>
      <c r="E836" s="26">
        <v>1</v>
      </c>
      <c r="F836" s="26">
        <v>400</v>
      </c>
      <c r="G836" s="27">
        <v>0.42</v>
      </c>
      <c r="H836" s="28">
        <f t="shared" si="28"/>
        <v>106.39999999999998</v>
      </c>
      <c r="I836" s="30"/>
    </row>
    <row r="837" spans="1:9" ht="15">
      <c r="A837" s="26"/>
      <c r="B837" s="26" t="s">
        <v>377</v>
      </c>
      <c r="C837" s="26"/>
      <c r="D837" s="26" t="s">
        <v>3</v>
      </c>
      <c r="E837" s="26">
        <v>2</v>
      </c>
      <c r="F837" s="26">
        <v>400</v>
      </c>
      <c r="G837" s="27">
        <v>0.41</v>
      </c>
      <c r="H837" s="28">
        <f t="shared" si="28"/>
        <v>110.19999999999999</v>
      </c>
      <c r="I837" s="30"/>
    </row>
    <row r="838" spans="1:9" ht="15">
      <c r="A838" s="26">
        <v>497</v>
      </c>
      <c r="B838" s="26" t="s">
        <v>377</v>
      </c>
      <c r="C838" s="26" t="s">
        <v>364</v>
      </c>
      <c r="D838" s="26" t="s">
        <v>6</v>
      </c>
      <c r="E838" s="26">
        <v>1</v>
      </c>
      <c r="F838" s="26">
        <v>400</v>
      </c>
      <c r="G838" s="27">
        <v>0.63</v>
      </c>
      <c r="H838" s="28">
        <f t="shared" si="28"/>
        <v>26.59999999999998</v>
      </c>
      <c r="I838" s="30"/>
    </row>
    <row r="839" spans="1:9" ht="15">
      <c r="A839" s="26"/>
      <c r="B839" s="26" t="s">
        <v>377</v>
      </c>
      <c r="C839" s="26"/>
      <c r="D839" s="26" t="s">
        <v>6</v>
      </c>
      <c r="E839" s="26">
        <v>2</v>
      </c>
      <c r="F839" s="26">
        <v>320</v>
      </c>
      <c r="G839" s="27">
        <v>0.47</v>
      </c>
      <c r="H839" s="28">
        <f t="shared" si="28"/>
        <v>69.91999999999999</v>
      </c>
      <c r="I839" s="30"/>
    </row>
    <row r="840" spans="1:9" ht="15">
      <c r="A840" s="26">
        <v>498</v>
      </c>
      <c r="B840" s="26" t="s">
        <v>377</v>
      </c>
      <c r="C840" s="26" t="s">
        <v>365</v>
      </c>
      <c r="D840" s="26" t="s">
        <v>6</v>
      </c>
      <c r="E840" s="26">
        <v>1</v>
      </c>
      <c r="F840" s="26">
        <v>320</v>
      </c>
      <c r="G840" s="27">
        <v>0.47</v>
      </c>
      <c r="H840" s="28">
        <f t="shared" si="28"/>
        <v>69.91999999999999</v>
      </c>
      <c r="I840" s="30"/>
    </row>
    <row r="841" spans="1:9" ht="15">
      <c r="A841" s="26"/>
      <c r="B841" s="26" t="s">
        <v>377</v>
      </c>
      <c r="C841" s="26"/>
      <c r="D841" s="26" t="s">
        <v>6</v>
      </c>
      <c r="E841" s="26">
        <v>2</v>
      </c>
      <c r="F841" s="26">
        <v>400</v>
      </c>
      <c r="G841" s="27">
        <f>0.15+50/400</f>
        <v>0.275</v>
      </c>
      <c r="H841" s="28">
        <f t="shared" si="28"/>
        <v>161.49999999999997</v>
      </c>
      <c r="I841" s="30"/>
    </row>
    <row r="842" spans="1:9" ht="15">
      <c r="A842" s="26">
        <v>499</v>
      </c>
      <c r="B842" s="26" t="s">
        <v>377</v>
      </c>
      <c r="C842" s="26" t="s">
        <v>366</v>
      </c>
      <c r="D842" s="26" t="s">
        <v>6</v>
      </c>
      <c r="E842" s="26">
        <v>1</v>
      </c>
      <c r="F842" s="26">
        <v>400</v>
      </c>
      <c r="G842" s="27">
        <f>0.36+50/400</f>
        <v>0.485</v>
      </c>
      <c r="H842" s="28">
        <f t="shared" si="28"/>
        <v>81.69999999999999</v>
      </c>
      <c r="I842" s="30"/>
    </row>
    <row r="843" spans="1:9" ht="15">
      <c r="A843" s="26"/>
      <c r="B843" s="26" t="s">
        <v>377</v>
      </c>
      <c r="C843" s="26"/>
      <c r="D843" s="26" t="s">
        <v>6</v>
      </c>
      <c r="E843" s="26">
        <v>2</v>
      </c>
      <c r="F843" s="26">
        <v>400</v>
      </c>
      <c r="G843" s="27">
        <v>0.55</v>
      </c>
      <c r="H843" s="28">
        <f t="shared" si="28"/>
        <v>56.999999999999964</v>
      </c>
      <c r="I843" s="30"/>
    </row>
    <row r="844" spans="1:9" ht="15">
      <c r="A844" s="26"/>
      <c r="B844" s="26" t="s">
        <v>377</v>
      </c>
      <c r="C844" s="26"/>
      <c r="D844" s="26" t="s">
        <v>6</v>
      </c>
      <c r="E844" s="26">
        <v>3</v>
      </c>
      <c r="F844" s="26">
        <v>400</v>
      </c>
      <c r="G844" s="27">
        <f>0.24+70/400</f>
        <v>0.415</v>
      </c>
      <c r="H844" s="28">
        <f t="shared" si="28"/>
        <v>108.3</v>
      </c>
      <c r="I844" s="30"/>
    </row>
    <row r="845" spans="1:9" ht="15">
      <c r="A845" s="26"/>
      <c r="B845" s="26" t="s">
        <v>377</v>
      </c>
      <c r="C845" s="26" t="s">
        <v>531</v>
      </c>
      <c r="D845" s="26" t="s">
        <v>3</v>
      </c>
      <c r="E845" s="26">
        <v>1</v>
      </c>
      <c r="F845" s="26">
        <v>100</v>
      </c>
      <c r="G845" s="27">
        <v>0.7</v>
      </c>
      <c r="H845" s="28">
        <v>0</v>
      </c>
      <c r="I845" s="30"/>
    </row>
    <row r="846" spans="1:9" ht="15">
      <c r="A846" s="26"/>
      <c r="B846" s="26" t="s">
        <v>377</v>
      </c>
      <c r="C846" s="26"/>
      <c r="D846" s="26" t="s">
        <v>3</v>
      </c>
      <c r="E846" s="26">
        <v>2</v>
      </c>
      <c r="F846" s="26">
        <v>40</v>
      </c>
      <c r="G846" s="27">
        <v>0.7</v>
      </c>
      <c r="H846" s="28">
        <v>0</v>
      </c>
      <c r="I846" s="30"/>
    </row>
    <row r="847" spans="1:9" ht="15">
      <c r="A847" s="26">
        <v>500</v>
      </c>
      <c r="B847" s="26" t="s">
        <v>377</v>
      </c>
      <c r="C847" s="26" t="s">
        <v>367</v>
      </c>
      <c r="D847" s="26" t="s">
        <v>3</v>
      </c>
      <c r="E847" s="26">
        <v>1</v>
      </c>
      <c r="F847" s="26">
        <v>630</v>
      </c>
      <c r="G847" s="27">
        <f>0.25+150/630</f>
        <v>0.4880952380952381</v>
      </c>
      <c r="H847" s="28">
        <f t="shared" si="28"/>
        <v>126.82499999999997</v>
      </c>
      <c r="I847" s="30"/>
    </row>
    <row r="848" spans="1:9" ht="15">
      <c r="A848" s="26">
        <v>501</v>
      </c>
      <c r="B848" s="26" t="s">
        <v>377</v>
      </c>
      <c r="C848" s="26"/>
      <c r="D848" s="26" t="s">
        <v>3</v>
      </c>
      <c r="E848" s="26">
        <v>2</v>
      </c>
      <c r="F848" s="26">
        <v>630</v>
      </c>
      <c r="G848" s="27">
        <v>0.45</v>
      </c>
      <c r="H848" s="28">
        <f t="shared" si="28"/>
        <v>149.62499999999997</v>
      </c>
      <c r="I848" s="30"/>
    </row>
    <row r="849" spans="1:9" ht="15">
      <c r="A849" s="26">
        <v>502</v>
      </c>
      <c r="B849" s="26" t="s">
        <v>377</v>
      </c>
      <c r="C849" s="26" t="s">
        <v>368</v>
      </c>
      <c r="D849" s="26" t="s">
        <v>3</v>
      </c>
      <c r="E849" s="26">
        <v>1</v>
      </c>
      <c r="F849" s="26">
        <v>250</v>
      </c>
      <c r="G849" s="27">
        <v>0.43</v>
      </c>
      <c r="H849" s="28">
        <f t="shared" si="28"/>
        <v>64.12499999999999</v>
      </c>
      <c r="I849" s="30"/>
    </row>
    <row r="850" spans="1:9" ht="15">
      <c r="A850" s="26">
        <v>503</v>
      </c>
      <c r="B850" s="26" t="s">
        <v>377</v>
      </c>
      <c r="C850" s="26" t="s">
        <v>369</v>
      </c>
      <c r="D850" s="26" t="s">
        <v>3</v>
      </c>
      <c r="E850" s="26">
        <v>1</v>
      </c>
      <c r="F850" s="26">
        <v>400</v>
      </c>
      <c r="G850" s="27">
        <v>0.66</v>
      </c>
      <c r="H850" s="28">
        <f t="shared" si="28"/>
        <v>15.199999999999973</v>
      </c>
      <c r="I850" s="30"/>
    </row>
    <row r="851" spans="1:9" ht="15">
      <c r="A851" s="26"/>
      <c r="B851" s="26" t="s">
        <v>377</v>
      </c>
      <c r="C851" s="26"/>
      <c r="D851" s="26" t="s">
        <v>3</v>
      </c>
      <c r="E851" s="26">
        <v>2</v>
      </c>
      <c r="F851" s="26">
        <v>400</v>
      </c>
      <c r="G851" s="27">
        <v>0.69</v>
      </c>
      <c r="H851" s="28">
        <f t="shared" si="28"/>
        <v>3.8000000000000034</v>
      </c>
      <c r="I851" s="30"/>
    </row>
    <row r="852" spans="1:9" ht="15">
      <c r="A852" s="26">
        <v>504</v>
      </c>
      <c r="B852" s="26" t="s">
        <v>377</v>
      </c>
      <c r="C852" s="26" t="s">
        <v>370</v>
      </c>
      <c r="D852" s="26" t="s">
        <v>3</v>
      </c>
      <c r="E852" s="26">
        <v>1</v>
      </c>
      <c r="F852" s="26">
        <v>400</v>
      </c>
      <c r="G852" s="27">
        <f>0.1+100/400</f>
        <v>0.35</v>
      </c>
      <c r="H852" s="28">
        <f t="shared" si="28"/>
        <v>132.99999999999997</v>
      </c>
      <c r="I852" s="30"/>
    </row>
    <row r="853" spans="1:9" ht="15">
      <c r="A853" s="26"/>
      <c r="B853" s="26" t="s">
        <v>377</v>
      </c>
      <c r="C853" s="26"/>
      <c r="D853" s="26" t="s">
        <v>3</v>
      </c>
      <c r="E853" s="26">
        <v>2</v>
      </c>
      <c r="F853" s="26">
        <v>400</v>
      </c>
      <c r="G853" s="27">
        <f>0.13+100/400</f>
        <v>0.38</v>
      </c>
      <c r="H853" s="28">
        <f>0.95*(0.7-G853)*F853</f>
        <v>121.59999999999998</v>
      </c>
      <c r="I853" s="30"/>
    </row>
    <row r="854" spans="1:9" ht="15">
      <c r="A854" s="26">
        <v>505</v>
      </c>
      <c r="B854" s="26" t="s">
        <v>377</v>
      </c>
      <c r="C854" s="26" t="s">
        <v>371</v>
      </c>
      <c r="D854" s="26" t="s">
        <v>3</v>
      </c>
      <c r="E854" s="26">
        <v>1</v>
      </c>
      <c r="F854" s="26">
        <v>100</v>
      </c>
      <c r="G854" s="27">
        <v>1</v>
      </c>
      <c r="H854" s="28">
        <v>0</v>
      </c>
      <c r="I854" s="30"/>
    </row>
    <row r="855" spans="1:9" ht="15">
      <c r="A855" s="26"/>
      <c r="B855" s="26" t="s">
        <v>377</v>
      </c>
      <c r="C855" s="26" t="s">
        <v>532</v>
      </c>
      <c r="D855" s="26" t="s">
        <v>3</v>
      </c>
      <c r="E855" s="26">
        <v>1</v>
      </c>
      <c r="F855" s="26">
        <v>630</v>
      </c>
      <c r="G855" s="27">
        <v>0.9</v>
      </c>
      <c r="H855" s="28">
        <v>0</v>
      </c>
      <c r="I855" s="30" t="s">
        <v>518</v>
      </c>
    </row>
    <row r="856" spans="1:9" ht="15">
      <c r="A856" s="26">
        <v>506</v>
      </c>
      <c r="B856" s="26" t="s">
        <v>377</v>
      </c>
      <c r="C856" s="26" t="s">
        <v>372</v>
      </c>
      <c r="D856" s="26" t="s">
        <v>6</v>
      </c>
      <c r="E856" s="26">
        <v>1</v>
      </c>
      <c r="F856" s="26">
        <v>400</v>
      </c>
      <c r="G856" s="27">
        <v>0.5</v>
      </c>
      <c r="H856" s="28">
        <f>0.95*(0.7-G856)*F856</f>
        <v>75.99999999999997</v>
      </c>
      <c r="I856" s="30"/>
    </row>
    <row r="857" spans="1:9" ht="15">
      <c r="A857" s="26">
        <v>507</v>
      </c>
      <c r="B857" s="26" t="s">
        <v>377</v>
      </c>
      <c r="C857" s="26"/>
      <c r="D857" s="26" t="s">
        <v>6</v>
      </c>
      <c r="E857" s="26">
        <v>2</v>
      </c>
      <c r="F857" s="26">
        <v>400</v>
      </c>
      <c r="G857" s="27">
        <v>0.5</v>
      </c>
      <c r="H857" s="28">
        <f>0.95*(0.7-G857)*F857</f>
        <v>75.99999999999997</v>
      </c>
      <c r="I857" s="30"/>
    </row>
    <row r="858" spans="1:9" ht="15">
      <c r="A858" s="26">
        <v>508</v>
      </c>
      <c r="B858" s="26" t="s">
        <v>377</v>
      </c>
      <c r="C858" s="26" t="s">
        <v>373</v>
      </c>
      <c r="D858" s="26" t="s">
        <v>6</v>
      </c>
      <c r="E858" s="26">
        <v>1</v>
      </c>
      <c r="F858" s="26">
        <v>630</v>
      </c>
      <c r="G858" s="27">
        <v>1</v>
      </c>
      <c r="H858" s="28">
        <v>0</v>
      </c>
      <c r="I858" s="30"/>
    </row>
    <row r="859" spans="1:9" ht="15">
      <c r="A859" s="26"/>
      <c r="B859" s="26" t="s">
        <v>377</v>
      </c>
      <c r="C859" s="26"/>
      <c r="D859" s="26" t="s">
        <v>6</v>
      </c>
      <c r="E859" s="26">
        <v>2</v>
      </c>
      <c r="F859" s="26">
        <v>630</v>
      </c>
      <c r="G859" s="27">
        <v>1</v>
      </c>
      <c r="H859" s="28">
        <v>0</v>
      </c>
      <c r="I859" s="30"/>
    </row>
    <row r="860" spans="1:9" ht="15">
      <c r="A860" s="26">
        <v>509</v>
      </c>
      <c r="B860" s="26" t="s">
        <v>377</v>
      </c>
      <c r="C860" s="26" t="s">
        <v>476</v>
      </c>
      <c r="D860" s="26" t="s">
        <v>3</v>
      </c>
      <c r="E860" s="26">
        <v>1</v>
      </c>
      <c r="F860" s="26">
        <v>630</v>
      </c>
      <c r="G860" s="27">
        <v>0.9</v>
      </c>
      <c r="H860" s="28">
        <v>0</v>
      </c>
      <c r="I860" s="30"/>
    </row>
    <row r="861" spans="1:9" ht="15">
      <c r="A861" s="26"/>
      <c r="B861" s="26" t="s">
        <v>377</v>
      </c>
      <c r="C861" s="26"/>
      <c r="D861" s="26" t="s">
        <v>3</v>
      </c>
      <c r="E861" s="26">
        <v>2</v>
      </c>
      <c r="F861" s="26">
        <v>630</v>
      </c>
      <c r="G861" s="27">
        <v>0.9</v>
      </c>
      <c r="H861" s="28">
        <v>0</v>
      </c>
      <c r="I861" s="30"/>
    </row>
  </sheetData>
  <sheetProtection/>
  <autoFilter ref="A2:H861"/>
  <mergeCells count="21">
    <mergeCell ref="G698:H698"/>
    <mergeCell ref="D321:H321"/>
    <mergeCell ref="F374:H374"/>
    <mergeCell ref="A1:I1"/>
    <mergeCell ref="I457:I458"/>
    <mergeCell ref="I676:I677"/>
    <mergeCell ref="I672:I673"/>
    <mergeCell ref="I232:I233"/>
    <mergeCell ref="I304:I305"/>
    <mergeCell ref="I652:I653"/>
    <mergeCell ref="I654:I655"/>
    <mergeCell ref="I657:I658"/>
    <mergeCell ref="I267:I268"/>
    <mergeCell ref="I479:I480"/>
    <mergeCell ref="I662:I663"/>
    <mergeCell ref="I322:I323"/>
    <mergeCell ref="I341:I342"/>
    <mergeCell ref="I374:I375"/>
    <mergeCell ref="I410:I411"/>
    <mergeCell ref="I380:I381"/>
    <mergeCell ref="I539:I5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1:M21">I2-J2-K2</f>
        <v>77.5</v>
      </c>
      <c r="N2" s="14">
        <f aca="true" t="shared" si="2" ref="N1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2021-06-23T10:33:35Z</dcterms:modified>
  <cp:category/>
  <cp:version/>
  <cp:contentType/>
  <cp:contentStatus/>
</cp:coreProperties>
</file>