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firstSheet="3" activeTab="11"/>
  </bookViews>
  <sheets>
    <sheet name="на 01.01.2011" sheetId="1" r:id="rId1"/>
    <sheet name="на 31.03.11" sheetId="2" r:id="rId2"/>
    <sheet name="на 30.06.11" sheetId="3" r:id="rId3"/>
    <sheet name="на 30.09.11" sheetId="4" r:id="rId4"/>
    <sheet name="на 31.12.11" sheetId="5" r:id="rId5"/>
    <sheet name="на 31.03.12" sheetId="6" r:id="rId6"/>
    <sheet name="на 30.06.12" sheetId="7" r:id="rId7"/>
    <sheet name="на 30.09.12" sheetId="8" r:id="rId8"/>
    <sheet name="на 31.12.12" sheetId="9" r:id="rId9"/>
    <sheet name="на 31.03.13" sheetId="10" r:id="rId10"/>
    <sheet name="на 27.09.2013 (2)" sheetId="11" r:id="rId11"/>
    <sheet name="на 30.12.2013" sheetId="12" r:id="rId12"/>
  </sheets>
  <definedNames>
    <definedName name="_xlnm.Print_Area" localSheetId="10">'на 27.09.2013 (2)'!$A$1:$R$9</definedName>
    <definedName name="_xlnm.Print_Area" localSheetId="7">'на 30.09.12'!$A$1:$R$7</definedName>
    <definedName name="_xlnm.Print_Area" localSheetId="11">'на 30.12.2013'!$A$1:$R$9</definedName>
    <definedName name="_xlnm.Print_Area" localSheetId="8">'на 31.12.12'!$A$1:$R$10</definedName>
  </definedNames>
  <calcPr fullCalcOnLoad="1"/>
</workbook>
</file>

<file path=xl/sharedStrings.xml><?xml version="1.0" encoding="utf-8"?>
<sst xmlns="http://schemas.openxmlformats.org/spreadsheetml/2006/main" count="337" uniqueCount="43">
  <si>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</si>
  <si>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</si>
  <si>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</si>
  <si>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</si>
  <si>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</si>
  <si>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</si>
  <si>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</si>
  <si>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</si>
  <si>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</si>
  <si>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</si>
  <si>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</si>
  <si>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</si>
  <si>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</si>
  <si>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</si>
  <si>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</si>
  <si>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</si>
  <si>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</si>
  <si>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</si>
  <si>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</si>
  <si>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</si>
  <si>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</si>
  <si>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</si>
  <si>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</si>
  <si>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ПФ ОАО "ПКС" "Электрические сети"</t>
  </si>
  <si>
    <t>Всего по Петрозаводскому филиалу (в том числе ПС-51П, ПС-68)</t>
  </si>
  <si>
    <t>Информация по фактическим и перспективным нагрузкам центров питания 35-110 кВ ПФ ОАО "ПКС" "Электрические сети" на 31.03.2011 г.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</si>
  <si>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</si>
  <si>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Информация по фактическим и перспективным нагрузкам центров питания 35-110 кВ ПФ ОАО "ПКС" "Электрические сети" на 01.01.2011 г.</t>
  </si>
  <si>
    <t>Планируемый резерв мощности на конец года с учетом присоединеных потребителей, заключенных договоров на ТП и реализации планов капитальных вложений (ИП), кВА</t>
  </si>
  <si>
    <t>Информация по фактическим и перспективным нагрузкам центров питания 35-110 кВ ПФ ОАО "ПКС" "Электрические сети" на 30.06.2011 г.</t>
  </si>
  <si>
    <t>Информация по фактическим и перспективным нагрузкам центров питания 35-110 кВ ПФ ОАО "ПКС" "Электрические сети" на 30.09.2011 г.</t>
  </si>
  <si>
    <t>Информация по фактическим и перспективным нагрузкам центров питания 35-110 кВ ПФ ОАО "ПКС" "Электрические сети" на 31.12.2011 г.</t>
  </si>
  <si>
    <t>Информация по фактическим и перспективным нагрузкам центров питания 35-110 кВ ПФ ОАО "ПКС" "Электрические сети" на 31.03.2012 г.</t>
  </si>
  <si>
    <t>Информация по фактическим и перспективным нагрузкам центров питания 35-110 кВ ПФ ОАО "ПКС" "Электрические сети" на 30.06.2012 г.</t>
  </si>
  <si>
    <t>Информация по фактическим и перспективным нагрузкам центров питания 6-110 кВ ПФ ОАО "ПКС" "Электрические сети" на 30.09.2012 г.</t>
  </si>
  <si>
    <t>Информация по фактическим и перспективным нагрузкам центров питания 6-110 кВ ПФ ОАО "ПКС" "Электрические сети" на 31.12.2012 г.</t>
  </si>
  <si>
    <t>* Максимальная фактическая нагрузка по замерам в зимний режимный день 19.12.12г., т.е. с учетом вновь присоед. потребителей до декабря 2012г.</t>
  </si>
  <si>
    <t>** Мощность вновь присоед. потребителей в текущем году, а именно в декабре 2012г., т.к. факт макс. нагрузка учитывает предыдущие подключения.</t>
  </si>
  <si>
    <t>Информация по фактическим и перспективным нагрузкам центров питания 6-110 кВ ПФ ОАО "ПКС" "Электрические сети" на 31.03.2013 г.</t>
  </si>
  <si>
    <t>Информация по фактическим и перспективным нагрузкам центров питания 6-110 кВ Филиала ОАО "ПКС" "Электрические сети" на 30.09.2013 г.</t>
  </si>
  <si>
    <t>Филиал ОАО "ПКС" "Электрические сети"</t>
  </si>
  <si>
    <t>Всего по Филиалу (в том числе ПС-51П, ПС-68)</t>
  </si>
  <si>
    <t>Информация по фактическим и перспективным нагрузкам центров питания 6-110 кВ Филиала ОАО "ПКС" "Электрические сети" на 30.12.2013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</si>
</sst>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4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8" fillId="0" borderId="0" xfId="54">
      <alignment/>
      <protection/>
    </xf>
    <xf numFmtId="0" fontId="23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ill="1">
      <alignment/>
      <protection/>
    </xf>
    <xf numFmtId="0" fontId="23" fillId="0" borderId="0" xfId="54" applyFont="1" applyAlignment="1">
      <alignment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textRotation="90" wrapText="1"/>
      <protection/>
    </xf>
    <xf numFmtId="0" fontId="22" fillId="0" borderId="11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textRotation="90" wrapText="1"/>
      <protection/>
    </xf>
    <xf numFmtId="0" fontId="22" fillId="0" borderId="13" xfId="54" applyFont="1" applyFill="1" applyBorder="1" applyAlignment="1">
      <alignment horizontal="center" vertical="center" textRotation="90" wrapText="1"/>
      <protection/>
    </xf>
    <xf numFmtId="0" fontId="26" fillId="0" borderId="14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0" fontId="25" fillId="0" borderId="15" xfId="55" applyFont="1" applyFill="1" applyBorder="1" applyAlignment="1">
      <alignment horizontal="center" vertical="center" wrapText="1"/>
      <protection/>
    </xf>
    <xf numFmtId="1" fontId="27" fillId="0" borderId="14" xfId="55" applyNumberFormat="1" applyFont="1" applyFill="1" applyBorder="1" applyAlignment="1">
      <alignment horizontal="center" vertical="center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2" fontId="24" fillId="23" borderId="17" xfId="55" applyNumberFormat="1" applyFont="1" applyFill="1" applyBorder="1" applyAlignment="1">
      <alignment horizontal="center" vertical="center"/>
      <protection/>
    </xf>
    <xf numFmtId="2" fontId="24" fillId="23" borderId="18" xfId="55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4" fillId="0" borderId="20" xfId="54" applyFont="1" applyFill="1" applyBorder="1" applyAlignment="1">
      <alignment vertical="center" wrapText="1"/>
      <protection/>
    </xf>
    <xf numFmtId="0" fontId="23" fillId="0" borderId="20" xfId="54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1" fontId="24" fillId="0" borderId="21" xfId="55" applyNumberFormat="1" applyFont="1" applyFill="1" applyBorder="1" applyAlignment="1">
      <alignment horizontal="center" vertical="center"/>
      <protection/>
    </xf>
    <xf numFmtId="1" fontId="24" fillId="0" borderId="20" xfId="55" applyNumberFormat="1" applyFont="1" applyFill="1" applyBorder="1" applyAlignment="1">
      <alignment horizontal="center" vertical="center"/>
      <protection/>
    </xf>
    <xf numFmtId="1" fontId="24" fillId="0" borderId="18" xfId="55" applyNumberFormat="1" applyFont="1" applyFill="1" applyBorder="1" applyAlignment="1">
      <alignment horizontal="center" vertical="center"/>
      <protection/>
    </xf>
    <xf numFmtId="1" fontId="23" fillId="0" borderId="20" xfId="54" applyNumberFormat="1" applyFont="1" applyFill="1" applyBorder="1" applyAlignment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2" fontId="24" fillId="0" borderId="0" xfId="55" applyNumberFormat="1" applyFont="1" applyFill="1" applyBorder="1" applyAlignment="1">
      <alignment horizontal="center" vertical="center"/>
      <protection/>
    </xf>
    <xf numFmtId="1" fontId="24" fillId="0" borderId="0" xfId="55" applyNumberFormat="1" applyFont="1" applyFill="1" applyBorder="1">
      <alignment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 applyAlignment="1">
      <alignment wrapText="1"/>
      <protection/>
    </xf>
    <xf numFmtId="2" fontId="24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Border="1">
      <alignment/>
      <protection/>
    </xf>
    <xf numFmtId="0" fontId="8" fillId="0" borderId="0" xfId="54" applyFont="1" applyFill="1" applyBorder="1">
      <alignment/>
      <protection/>
    </xf>
    <xf numFmtId="0" fontId="23" fillId="0" borderId="0" xfId="54" applyFont="1" applyBorder="1" applyAlignment="1">
      <alignment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justify"/>
    </xf>
    <xf numFmtId="0" fontId="33" fillId="0" borderId="22" xfId="54" applyFont="1" applyFill="1" applyBorder="1">
      <alignment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2" fontId="23" fillId="23" borderId="18" xfId="55" applyNumberFormat="1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2" fontId="23" fillId="0" borderId="17" xfId="55" applyNumberFormat="1" applyFont="1" applyFill="1" applyBorder="1" applyAlignment="1">
      <alignment horizontal="center" vertical="center"/>
      <protection/>
    </xf>
    <xf numFmtId="0" fontId="23" fillId="0" borderId="20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22" fillId="0" borderId="12" xfId="55" applyFont="1" applyFill="1" applyBorder="1" applyAlignment="1">
      <alignment horizontal="center" vertical="center" textRotation="90" wrapText="1"/>
      <protection/>
    </xf>
    <xf numFmtId="1" fontId="31" fillId="0" borderId="14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9" fillId="0" borderId="0" xfId="54" applyFont="1" applyBorder="1" applyAlignment="1">
      <alignment horizontal="center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21" xfId="54" applyFont="1" applyFill="1" applyBorder="1" applyAlignment="1">
      <alignment horizontal="center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3">
      <selection activeCell="I7" sqref="I7"/>
    </sheetView>
  </sheetViews>
  <sheetFormatPr defaultColWidth="9.00390625" defaultRowHeight="12.75"/>
  <cols>
    <col min="3" max="3" width="14.375" style="0" customWidth="1"/>
  </cols>
  <sheetData>
    <row r="1" spans="1:15" ht="15.7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3.5" thickBot="1">
      <c r="A2" s="7"/>
      <c r="B2" s="8"/>
      <c r="C2" s="7"/>
      <c r="D2" s="7"/>
      <c r="E2" s="7"/>
      <c r="F2" s="7"/>
      <c r="G2" s="9"/>
      <c r="H2" s="7"/>
      <c r="I2" s="7"/>
      <c r="J2" s="7"/>
      <c r="K2" s="7"/>
      <c r="L2" s="7"/>
      <c r="M2" s="7"/>
      <c r="N2" s="7"/>
      <c r="O2" s="11"/>
    </row>
    <row r="3" spans="1:15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5" t="s">
        <v>15</v>
      </c>
      <c r="I3" s="13" t="s">
        <v>16</v>
      </c>
      <c r="J3" s="13" t="s">
        <v>18</v>
      </c>
      <c r="K3" s="13" t="s">
        <v>19</v>
      </c>
      <c r="L3" s="13" t="s">
        <v>20</v>
      </c>
      <c r="M3" s="13" t="s">
        <v>21</v>
      </c>
      <c r="N3" s="14" t="s">
        <v>28</v>
      </c>
      <c r="O3" s="16" t="s">
        <v>22</v>
      </c>
    </row>
    <row r="4" spans="1:15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18">
        <v>8</v>
      </c>
      <c r="I4" s="18">
        <v>9</v>
      </c>
      <c r="J4" s="18">
        <v>10</v>
      </c>
      <c r="K4" s="21">
        <v>11</v>
      </c>
      <c r="L4" s="21">
        <v>12</v>
      </c>
      <c r="M4" s="21">
        <v>13</v>
      </c>
      <c r="N4" s="21">
        <v>14</v>
      </c>
      <c r="O4" s="22">
        <v>15</v>
      </c>
    </row>
    <row r="5" spans="1:15" ht="38.25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2*2321</f>
        <v>4642</v>
      </c>
      <c r="H5" s="29">
        <v>170</v>
      </c>
      <c r="I5" s="30">
        <v>1253</v>
      </c>
      <c r="J5" s="31">
        <v>188.88888888888889</v>
      </c>
      <c r="K5" s="29">
        <v>4124</v>
      </c>
      <c r="L5" s="32">
        <v>3041</v>
      </c>
      <c r="M5" s="33">
        <v>0</v>
      </c>
      <c r="N5" s="32">
        <v>2871</v>
      </c>
      <c r="O5" s="34"/>
    </row>
    <row r="6" spans="1:15" ht="38.25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2*1886</f>
        <v>3772</v>
      </c>
      <c r="H6" s="29">
        <v>74</v>
      </c>
      <c r="I6" s="30">
        <v>23720</v>
      </c>
      <c r="J6" s="31">
        <v>82.22222222222221</v>
      </c>
      <c r="K6" s="29">
        <v>64190</v>
      </c>
      <c r="L6" s="32">
        <v>40544</v>
      </c>
      <c r="M6" s="33">
        <v>0</v>
      </c>
      <c r="N6" s="32">
        <v>40470</v>
      </c>
      <c r="O6" s="34"/>
    </row>
    <row r="7" spans="1:15" ht="28.5" customHeight="1">
      <c r="A7" s="25">
        <v>3</v>
      </c>
      <c r="B7" s="62" t="s">
        <v>24</v>
      </c>
      <c r="C7" s="63"/>
      <c r="D7" s="63"/>
      <c r="E7" s="64"/>
      <c r="F7" s="27">
        <v>289608.3333333334</v>
      </c>
      <c r="G7" s="28">
        <v>79913</v>
      </c>
      <c r="H7" s="29">
        <v>22619.285714285717</v>
      </c>
      <c r="I7" s="30">
        <v>26609.785714285714</v>
      </c>
      <c r="J7" s="31">
        <v>5772.222222222222</v>
      </c>
      <c r="K7" s="32">
        <v>140684.5</v>
      </c>
      <c r="L7" s="32">
        <v>136694</v>
      </c>
      <c r="M7" s="33">
        <v>0</v>
      </c>
      <c r="N7" s="32">
        <v>130267</v>
      </c>
      <c r="O7" s="34"/>
    </row>
    <row r="10" ht="12.75">
      <c r="B10" s="45"/>
    </row>
  </sheetData>
  <sheetProtection/>
  <mergeCells count="2">
    <mergeCell ref="A1:O1"/>
    <mergeCell ref="B7:E7"/>
  </mergeCells>
  <printOptions horizontalCentered="1"/>
  <pageMargins left="0.5118110236220472" right="0.5118110236220472" top="0.9448818897637796" bottom="0.5511811023622047" header="0" footer="0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90" zoomScaleNormal="90"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4927/0.9</f>
        <v>5474.444444444444</v>
      </c>
      <c r="H5" s="23"/>
      <c r="I5" s="23"/>
      <c r="J5" s="47">
        <f>25/0.9</f>
        <v>27.77777777777778</v>
      </c>
      <c r="K5" s="28">
        <f>115/0.9</f>
        <v>127.77777777777777</v>
      </c>
      <c r="L5" s="48"/>
      <c r="M5" s="28">
        <f>15/0.9</f>
        <v>16.666666666666668</v>
      </c>
      <c r="N5" s="47">
        <f>F5-G5-J5</f>
        <v>1112.7777777777778</v>
      </c>
      <c r="O5" s="32">
        <f>F5-G5-K5</f>
        <v>1012.7777777777778</v>
      </c>
      <c r="P5" s="33">
        <v>0</v>
      </c>
      <c r="Q5" s="32">
        <f>N5-K5</f>
        <v>985</v>
      </c>
      <c r="R5" s="46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8069/0.9</f>
        <v>8965.555555555555</v>
      </c>
      <c r="H6" s="23"/>
      <c r="I6" s="23"/>
      <c r="J6" s="47">
        <v>0</v>
      </c>
      <c r="K6" s="28">
        <f>30/0.9</f>
        <v>33.333333333333336</v>
      </c>
      <c r="L6" s="48"/>
      <c r="M6" s="49">
        <f>1430/0.9</f>
        <v>1588.888888888889</v>
      </c>
      <c r="N6" s="47">
        <f>F6-G6-J6</f>
        <v>57184.444444444445</v>
      </c>
      <c r="O6" s="32">
        <f>F6-G6-K6</f>
        <v>57151.11111111111</v>
      </c>
      <c r="P6" s="33">
        <v>0</v>
      </c>
      <c r="Q6" s="32">
        <f>N6-K6</f>
        <v>57151.11111111111</v>
      </c>
      <c r="R6" s="46"/>
    </row>
    <row r="7" spans="1:18" ht="76.5" customHeight="1">
      <c r="A7" s="25">
        <v>3</v>
      </c>
      <c r="B7" s="62" t="s">
        <v>24</v>
      </c>
      <c r="C7" s="63"/>
      <c r="D7" s="63"/>
      <c r="E7" s="64"/>
      <c r="F7" s="32">
        <f>485033/0.9</f>
        <v>538925.5555555555</v>
      </c>
      <c r="G7" s="28">
        <f>179096/0.9</f>
        <v>198995.55555555556</v>
      </c>
      <c r="H7" s="23"/>
      <c r="I7" s="23"/>
      <c r="J7" s="47">
        <f>2577.46/0.9</f>
        <v>2863.8444444444444</v>
      </c>
      <c r="K7" s="28">
        <f>2319.95/0.9</f>
        <v>2577.722222222222</v>
      </c>
      <c r="L7" s="48"/>
      <c r="M7" s="49">
        <f>3925.2/0.9</f>
        <v>4361.333333333333</v>
      </c>
      <c r="N7" s="47">
        <f>F7-G7-J7</f>
        <v>337066.1555555555</v>
      </c>
      <c r="O7" s="32">
        <f>F7-G7-K7</f>
        <v>337352.2777777777</v>
      </c>
      <c r="P7" s="33">
        <v>0</v>
      </c>
      <c r="Q7" s="32">
        <f>N7-K7</f>
        <v>334488.43333333323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69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12.75">
      <c r="A10" s="69" t="s">
        <v>37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A34:A36"/>
    <mergeCell ref="B34:B36"/>
    <mergeCell ref="D34:D36"/>
    <mergeCell ref="A37:A38"/>
    <mergeCell ref="B37:B38"/>
    <mergeCell ref="D37:D38"/>
    <mergeCell ref="A30:A31"/>
    <mergeCell ref="B30:B31"/>
    <mergeCell ref="D30:D31"/>
    <mergeCell ref="A32:A33"/>
    <mergeCell ref="B32:B33"/>
    <mergeCell ref="D32:D33"/>
    <mergeCell ref="A1:R1"/>
    <mergeCell ref="B7:E7"/>
    <mergeCell ref="A9:R9"/>
    <mergeCell ref="A10:R10"/>
    <mergeCell ref="A28:A29"/>
    <mergeCell ref="B28:B29"/>
    <mergeCell ref="D28:D29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4">
      <selection activeCell="E5" sqref="E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40</v>
      </c>
      <c r="D5" s="27" t="s">
        <v>3</v>
      </c>
      <c r="E5" s="27" t="s">
        <v>7</v>
      </c>
      <c r="F5" s="27">
        <v>6615</v>
      </c>
      <c r="G5" s="28">
        <f>3595/0.9</f>
        <v>3994.4444444444443</v>
      </c>
      <c r="H5" s="51"/>
      <c r="I5" s="51"/>
      <c r="J5" s="47">
        <f>105/0.9</f>
        <v>116.66666666666666</v>
      </c>
      <c r="K5" s="28">
        <f>185/0.9</f>
        <v>205.55555555555554</v>
      </c>
      <c r="L5" s="50"/>
      <c r="M5" s="28">
        <f>150/0.9</f>
        <v>166.66666666666666</v>
      </c>
      <c r="N5" s="47">
        <f>F5-G5-J5</f>
        <v>2503.888888888889</v>
      </c>
      <c r="O5" s="32">
        <f>F5-G5-K5</f>
        <v>2415</v>
      </c>
      <c r="P5" s="33">
        <v>0</v>
      </c>
      <c r="Q5" s="32">
        <f>N5-K5</f>
        <v>2298.3333333333335</v>
      </c>
      <c r="R5" s="46"/>
    </row>
    <row r="6" spans="1:18" ht="51">
      <c r="A6" s="25">
        <v>2</v>
      </c>
      <c r="B6" s="26" t="s">
        <v>8</v>
      </c>
      <c r="C6" s="35" t="s">
        <v>40</v>
      </c>
      <c r="D6" s="27" t="s">
        <v>2</v>
      </c>
      <c r="E6" s="27" t="s">
        <v>9</v>
      </c>
      <c r="F6" s="27">
        <v>66150</v>
      </c>
      <c r="G6" s="28">
        <f>7489/0.9</f>
        <v>8321.111111111111</v>
      </c>
      <c r="H6" s="51"/>
      <c r="I6" s="51"/>
      <c r="J6" s="47">
        <f>120/0.9</f>
        <v>133.33333333333334</v>
      </c>
      <c r="K6" s="28">
        <f>72.2/0.9</f>
        <v>80.22222222222223</v>
      </c>
      <c r="L6" s="50"/>
      <c r="M6" s="49">
        <f>1525/0.9</f>
        <v>1694.4444444444443</v>
      </c>
      <c r="N6" s="47">
        <f>F6-G6-J6</f>
        <v>57695.555555555555</v>
      </c>
      <c r="O6" s="32">
        <f>F6-G6-K6</f>
        <v>57748.66666666667</v>
      </c>
      <c r="P6" s="33">
        <v>0</v>
      </c>
      <c r="Q6" s="32">
        <f>N6-K6</f>
        <v>57615.333333333336</v>
      </c>
      <c r="R6" s="46"/>
    </row>
    <row r="7" spans="1:18" ht="76.5" customHeight="1">
      <c r="A7" s="25">
        <v>3</v>
      </c>
      <c r="B7" s="62" t="s">
        <v>41</v>
      </c>
      <c r="C7" s="63"/>
      <c r="D7" s="63"/>
      <c r="E7" s="64"/>
      <c r="F7" s="32">
        <f>485033/0.9</f>
        <v>538925.5555555555</v>
      </c>
      <c r="G7" s="28">
        <f>130753/0.9</f>
        <v>145281.1111111111</v>
      </c>
      <c r="H7" s="51"/>
      <c r="I7" s="51"/>
      <c r="J7" s="47">
        <f>2755.9/0.9</f>
        <v>3062.1111111111113</v>
      </c>
      <c r="K7" s="28">
        <f>5450.5/0.9</f>
        <v>6056.111111111111</v>
      </c>
      <c r="L7" s="50"/>
      <c r="M7" s="49">
        <f>8297.7/0.9</f>
        <v>9219.666666666668</v>
      </c>
      <c r="N7" s="47">
        <f>F7-G7-J7</f>
        <v>390582.33333333326</v>
      </c>
      <c r="O7" s="32">
        <f>F7-G7-K7</f>
        <v>387588.33333333326</v>
      </c>
      <c r="P7" s="33">
        <v>0</v>
      </c>
      <c r="Q7" s="32">
        <f>N7-K7</f>
        <v>384526.22222222213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A34:A36"/>
    <mergeCell ref="B34:B36"/>
    <mergeCell ref="D34:D36"/>
    <mergeCell ref="A37:A38"/>
    <mergeCell ref="B37:B38"/>
    <mergeCell ref="D37:D38"/>
    <mergeCell ref="A30:A31"/>
    <mergeCell ref="B30:B31"/>
    <mergeCell ref="D30:D31"/>
    <mergeCell ref="A32:A33"/>
    <mergeCell ref="B32:B33"/>
    <mergeCell ref="D32:D33"/>
    <mergeCell ref="A1:R1"/>
    <mergeCell ref="B7:E7"/>
    <mergeCell ref="A9:R9"/>
    <mergeCell ref="A10:R10"/>
    <mergeCell ref="A28:A29"/>
    <mergeCell ref="B28:B29"/>
    <mergeCell ref="D28:D29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0" max="11" width="9.125" style="60" customWidth="1"/>
    <col min="12" max="12" width="9.125" style="60" hidden="1" customWidth="1"/>
    <col min="13" max="17" width="9.125" style="60" customWidth="1"/>
  </cols>
  <sheetData>
    <row r="1" spans="1:18" ht="15.75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53"/>
      <c r="K2" s="53"/>
      <c r="L2" s="53"/>
      <c r="M2" s="53"/>
      <c r="N2" s="53"/>
      <c r="O2" s="53"/>
      <c r="P2" s="53"/>
      <c r="Q2" s="53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54" t="s">
        <v>15</v>
      </c>
      <c r="K3" s="14" t="s">
        <v>16</v>
      </c>
      <c r="L3" s="14" t="s">
        <v>17</v>
      </c>
      <c r="M3" s="14" t="s">
        <v>18</v>
      </c>
      <c r="N3" s="14" t="s">
        <v>19</v>
      </c>
      <c r="O3" s="14" t="s">
        <v>20</v>
      </c>
      <c r="P3" s="14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9">
        <v>8</v>
      </c>
      <c r="K4" s="19">
        <v>9</v>
      </c>
      <c r="L4" s="19"/>
      <c r="M4" s="19">
        <v>10</v>
      </c>
      <c r="N4" s="55">
        <v>11</v>
      </c>
      <c r="O4" s="55">
        <v>12</v>
      </c>
      <c r="P4" s="55">
        <v>13</v>
      </c>
      <c r="Q4" s="55">
        <v>14</v>
      </c>
      <c r="R4" s="22">
        <v>15</v>
      </c>
    </row>
    <row r="5" spans="1:18" ht="51">
      <c r="A5" s="25">
        <v>1</v>
      </c>
      <c r="B5" s="52" t="s">
        <v>6</v>
      </c>
      <c r="C5" s="35" t="s">
        <v>40</v>
      </c>
      <c r="D5" s="27" t="s">
        <v>3</v>
      </c>
      <c r="E5" s="27" t="s">
        <v>7</v>
      </c>
      <c r="F5" s="27">
        <v>6615</v>
      </c>
      <c r="G5" s="28">
        <f>4640/0.9</f>
        <v>5155.555555555556</v>
      </c>
      <c r="H5" s="51"/>
      <c r="I5" s="51"/>
      <c r="J5" s="47">
        <f>105/0.9</f>
        <v>116.66666666666666</v>
      </c>
      <c r="K5" s="28">
        <f>(754+584)/0.9</f>
        <v>1486.6666666666667</v>
      </c>
      <c r="L5" s="50"/>
      <c r="M5" s="28">
        <f>45/0.9</f>
        <v>50</v>
      </c>
      <c r="N5" s="47">
        <f>F5-G5-J5</f>
        <v>1342.7777777777776</v>
      </c>
      <c r="O5" s="32">
        <f>F5-G5-K5</f>
        <v>-27.2222222222224</v>
      </c>
      <c r="P5" s="33">
        <v>0</v>
      </c>
      <c r="Q5" s="32">
        <f>N5-K5</f>
        <v>-143.88888888888914</v>
      </c>
      <c r="R5" s="46"/>
    </row>
    <row r="6" spans="1:18" ht="51">
      <c r="A6" s="25">
        <v>2</v>
      </c>
      <c r="B6" s="52" t="s">
        <v>8</v>
      </c>
      <c r="C6" s="35" t="s">
        <v>40</v>
      </c>
      <c r="D6" s="27" t="s">
        <v>2</v>
      </c>
      <c r="E6" s="27" t="s">
        <v>9</v>
      </c>
      <c r="F6" s="27">
        <v>66150</v>
      </c>
      <c r="G6" s="28">
        <f>9158/0.9</f>
        <v>10175.555555555555</v>
      </c>
      <c r="H6" s="51"/>
      <c r="I6" s="51"/>
      <c r="J6" s="47">
        <f>1165/0.9</f>
        <v>1294.4444444444443</v>
      </c>
      <c r="K6" s="28">
        <f>(6429.2+432.2)/0.9</f>
        <v>7623.777777777777</v>
      </c>
      <c r="L6" s="50"/>
      <c r="M6" s="49">
        <f>1430/0.9</f>
        <v>1588.888888888889</v>
      </c>
      <c r="N6" s="47">
        <f>F6-G6-J6</f>
        <v>54680</v>
      </c>
      <c r="O6" s="32">
        <f>F6-G6-K6</f>
        <v>48350.66666666667</v>
      </c>
      <c r="P6" s="33">
        <v>0</v>
      </c>
      <c r="Q6" s="32">
        <f>N6-K6</f>
        <v>47056.22222222222</v>
      </c>
      <c r="R6" s="46"/>
    </row>
    <row r="7" spans="1:18" ht="76.5" customHeight="1">
      <c r="A7" s="25">
        <v>3</v>
      </c>
      <c r="B7" s="70" t="s">
        <v>41</v>
      </c>
      <c r="C7" s="71"/>
      <c r="D7" s="71"/>
      <c r="E7" s="72"/>
      <c r="F7" s="32">
        <f>485033/0.9</f>
        <v>538925.5555555555</v>
      </c>
      <c r="G7" s="28">
        <f>160718/0.9</f>
        <v>178575.55555555556</v>
      </c>
      <c r="H7" s="51"/>
      <c r="I7" s="51"/>
      <c r="J7" s="47">
        <f>5125/0.9</f>
        <v>5694.444444444444</v>
      </c>
      <c r="K7" s="28">
        <f>(42020+18200)/0.9</f>
        <v>66911.11111111111</v>
      </c>
      <c r="L7" s="50"/>
      <c r="M7" s="49">
        <f>4169.4/0.9</f>
        <v>4632.666666666666</v>
      </c>
      <c r="N7" s="47">
        <f>F7-G7-J7</f>
        <v>354655.5555555555</v>
      </c>
      <c r="O7" s="32">
        <f>F7-G7-K7</f>
        <v>293438.8888888888</v>
      </c>
      <c r="P7" s="33">
        <v>0</v>
      </c>
      <c r="Q7" s="32">
        <f>N7-K7</f>
        <v>287744.4444444444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56"/>
      <c r="K8" s="57"/>
      <c r="L8" s="57"/>
      <c r="M8" s="57"/>
      <c r="N8" s="58"/>
      <c r="O8" s="59"/>
      <c r="P8" s="59"/>
      <c r="Q8" s="59"/>
      <c r="R8" s="39"/>
    </row>
    <row r="9" spans="1:18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56"/>
      <c r="K11" s="57"/>
      <c r="L11" s="57"/>
      <c r="M11" s="57"/>
      <c r="N11" s="58"/>
      <c r="O11" s="59"/>
      <c r="P11" s="59"/>
      <c r="Q11" s="59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56"/>
      <c r="K12" s="57"/>
      <c r="L12" s="57"/>
      <c r="M12" s="57"/>
      <c r="N12" s="58"/>
      <c r="O12" s="59"/>
      <c r="P12" s="59"/>
      <c r="Q12" s="59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56"/>
      <c r="K13" s="57"/>
      <c r="L13" s="57"/>
      <c r="M13" s="57"/>
      <c r="N13" s="58"/>
      <c r="O13" s="59"/>
      <c r="P13" s="59"/>
      <c r="Q13" s="59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56"/>
      <c r="K14" s="57"/>
      <c r="L14" s="57"/>
      <c r="M14" s="57"/>
      <c r="N14" s="58"/>
      <c r="O14" s="59"/>
      <c r="P14" s="59"/>
      <c r="Q14" s="59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56"/>
      <c r="K15" s="57"/>
      <c r="L15" s="57"/>
      <c r="M15" s="57"/>
      <c r="N15" s="58"/>
      <c r="O15" s="59"/>
      <c r="P15" s="59"/>
      <c r="Q15" s="59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56"/>
      <c r="K16" s="57"/>
      <c r="L16" s="57"/>
      <c r="M16" s="57"/>
      <c r="N16" s="58"/>
      <c r="O16" s="59"/>
      <c r="P16" s="59"/>
      <c r="Q16" s="59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56"/>
      <c r="K17" s="57"/>
      <c r="L17" s="57"/>
      <c r="M17" s="57"/>
      <c r="N17" s="58"/>
      <c r="O17" s="59"/>
      <c r="P17" s="59"/>
      <c r="Q17" s="59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56"/>
      <c r="K18" s="57"/>
      <c r="L18" s="57"/>
      <c r="M18" s="57"/>
      <c r="N18" s="58"/>
      <c r="O18" s="59"/>
      <c r="P18" s="59"/>
      <c r="Q18" s="59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56"/>
      <c r="K19" s="57"/>
      <c r="L19" s="57"/>
      <c r="M19" s="57"/>
      <c r="N19" s="58"/>
      <c r="O19" s="59"/>
      <c r="P19" s="59"/>
      <c r="Q19" s="59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56"/>
      <c r="K20" s="57"/>
      <c r="L20" s="57"/>
      <c r="M20" s="57"/>
      <c r="N20" s="58"/>
      <c r="O20" s="59"/>
      <c r="P20" s="59"/>
      <c r="Q20" s="59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56"/>
      <c r="K21" s="57"/>
      <c r="L21" s="57"/>
      <c r="M21" s="57"/>
      <c r="N21" s="58"/>
      <c r="O21" s="59"/>
      <c r="P21" s="59"/>
      <c r="Q21" s="59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56"/>
      <c r="K22" s="57"/>
      <c r="L22" s="57"/>
      <c r="M22" s="57"/>
      <c r="N22" s="58"/>
      <c r="O22" s="59"/>
      <c r="P22" s="59"/>
      <c r="Q22" s="59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56"/>
      <c r="K23" s="57"/>
      <c r="L23" s="57"/>
      <c r="M23" s="57"/>
      <c r="N23" s="58"/>
      <c r="O23" s="59"/>
      <c r="P23" s="59"/>
      <c r="Q23" s="59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56"/>
      <c r="K24" s="57"/>
      <c r="L24" s="57"/>
      <c r="M24" s="57"/>
      <c r="N24" s="58"/>
      <c r="O24" s="59"/>
      <c r="P24" s="59"/>
      <c r="Q24" s="59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56"/>
      <c r="K25" s="57"/>
      <c r="L25" s="57"/>
      <c r="M25" s="57"/>
      <c r="N25" s="58"/>
      <c r="O25" s="59"/>
      <c r="P25" s="59"/>
      <c r="Q25" s="59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56"/>
      <c r="K26" s="57"/>
      <c r="L26" s="57"/>
      <c r="M26" s="57"/>
      <c r="N26" s="58"/>
      <c r="O26" s="59"/>
      <c r="P26" s="59"/>
      <c r="Q26" s="59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56"/>
      <c r="K27" s="57"/>
      <c r="L27" s="57"/>
      <c r="M27" s="57"/>
      <c r="N27" s="58"/>
      <c r="O27" s="59"/>
      <c r="P27" s="59"/>
      <c r="Q27" s="59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56"/>
      <c r="K28" s="57"/>
      <c r="L28" s="57"/>
      <c r="M28" s="57"/>
      <c r="N28" s="58"/>
      <c r="O28" s="59"/>
      <c r="P28" s="59"/>
      <c r="Q28" s="59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56"/>
      <c r="K29" s="57"/>
      <c r="L29" s="57"/>
      <c r="M29" s="57"/>
      <c r="N29" s="58"/>
      <c r="O29" s="59"/>
      <c r="P29" s="59"/>
      <c r="Q29" s="59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56"/>
      <c r="K30" s="57"/>
      <c r="L30" s="57"/>
      <c r="M30" s="57"/>
      <c r="N30" s="58"/>
      <c r="O30" s="59"/>
      <c r="P30" s="59"/>
      <c r="Q30" s="59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56"/>
      <c r="K31" s="57"/>
      <c r="L31" s="57"/>
      <c r="M31" s="57"/>
      <c r="N31" s="58"/>
      <c r="O31" s="59"/>
      <c r="P31" s="59"/>
      <c r="Q31" s="59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56"/>
      <c r="K32" s="57"/>
      <c r="L32" s="57"/>
      <c r="M32" s="57"/>
      <c r="N32" s="58"/>
      <c r="O32" s="59"/>
      <c r="P32" s="59"/>
      <c r="Q32" s="59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56"/>
      <c r="K33" s="57"/>
      <c r="L33" s="57"/>
      <c r="M33" s="57"/>
      <c r="N33" s="58"/>
      <c r="O33" s="59"/>
      <c r="P33" s="59"/>
      <c r="Q33" s="59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56"/>
      <c r="K34" s="57"/>
      <c r="L34" s="57"/>
      <c r="M34" s="57"/>
      <c r="N34" s="58"/>
      <c r="O34" s="59"/>
      <c r="P34" s="59"/>
      <c r="Q34" s="59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56"/>
      <c r="K35" s="57"/>
      <c r="L35" s="57"/>
      <c r="M35" s="57"/>
      <c r="N35" s="58"/>
      <c r="O35" s="59"/>
      <c r="P35" s="59"/>
      <c r="Q35" s="59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56"/>
      <c r="K36" s="57"/>
      <c r="L36" s="57"/>
      <c r="M36" s="57"/>
      <c r="N36" s="58"/>
      <c r="O36" s="59"/>
      <c r="P36" s="59"/>
      <c r="Q36" s="59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56"/>
      <c r="K37" s="57"/>
      <c r="L37" s="57"/>
      <c r="M37" s="57"/>
      <c r="N37" s="58"/>
      <c r="O37" s="59"/>
      <c r="P37" s="59"/>
      <c r="Q37" s="59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56"/>
      <c r="K38" s="57"/>
      <c r="L38" s="57"/>
      <c r="M38" s="57"/>
      <c r="N38" s="58"/>
      <c r="O38" s="59"/>
      <c r="P38" s="59"/>
      <c r="Q38" s="59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59"/>
      <c r="K39" s="59"/>
      <c r="L39" s="59"/>
      <c r="M39" s="59"/>
      <c r="N39" s="59"/>
      <c r="O39" s="59"/>
      <c r="P39" s="59"/>
      <c r="Q39" s="59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59"/>
      <c r="K41" s="59"/>
      <c r="L41" s="59"/>
      <c r="M41" s="59"/>
      <c r="N41" s="59"/>
      <c r="O41" s="59"/>
      <c r="P41" s="59"/>
      <c r="Q41" s="59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59"/>
      <c r="K43" s="59"/>
      <c r="L43" s="59"/>
      <c r="M43" s="59"/>
      <c r="N43" s="59"/>
      <c r="O43" s="59"/>
      <c r="P43" s="59"/>
      <c r="Q43" s="59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59"/>
      <c r="K44" s="59"/>
      <c r="L44" s="59"/>
      <c r="M44" s="59"/>
      <c r="N44" s="59"/>
      <c r="O44" s="59"/>
      <c r="P44" s="59"/>
      <c r="Q44" s="59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59"/>
      <c r="K45" s="59"/>
      <c r="L45" s="59"/>
      <c r="M45" s="59"/>
      <c r="N45" s="59"/>
      <c r="O45" s="59"/>
      <c r="P45" s="59"/>
      <c r="Q45" s="59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59"/>
      <c r="K46" s="59"/>
      <c r="L46" s="59"/>
      <c r="M46" s="59"/>
      <c r="N46" s="59"/>
      <c r="O46" s="59"/>
      <c r="P46" s="59"/>
      <c r="Q46" s="59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59"/>
      <c r="K47" s="59"/>
      <c r="L47" s="59"/>
      <c r="M47" s="59"/>
      <c r="N47" s="59"/>
      <c r="O47" s="59"/>
      <c r="P47" s="59"/>
      <c r="Q47" s="59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59"/>
      <c r="K48" s="59"/>
      <c r="L48" s="59"/>
      <c r="M48" s="59"/>
      <c r="N48" s="59"/>
      <c r="O48" s="59"/>
      <c r="P48" s="59"/>
      <c r="Q48" s="59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59"/>
      <c r="K49" s="59"/>
      <c r="L49" s="59"/>
      <c r="M49" s="59"/>
      <c r="N49" s="59"/>
      <c r="O49" s="59"/>
      <c r="P49" s="59"/>
      <c r="Q49" s="59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59"/>
      <c r="K50" s="59"/>
      <c r="L50" s="59"/>
      <c r="M50" s="59"/>
      <c r="N50" s="59"/>
      <c r="O50" s="59"/>
      <c r="P50" s="59"/>
      <c r="Q50" s="59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59"/>
      <c r="K51" s="59"/>
      <c r="L51" s="59"/>
      <c r="M51" s="59"/>
      <c r="N51" s="59"/>
      <c r="O51" s="59"/>
      <c r="P51" s="59"/>
      <c r="Q51" s="59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59"/>
      <c r="K52" s="59"/>
      <c r="L52" s="59"/>
      <c r="M52" s="59"/>
      <c r="N52" s="59"/>
      <c r="O52" s="59"/>
      <c r="P52" s="59"/>
      <c r="Q52" s="59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59"/>
      <c r="K53" s="59"/>
      <c r="L53" s="59"/>
      <c r="M53" s="59"/>
      <c r="N53" s="59"/>
      <c r="O53" s="59"/>
      <c r="P53" s="59"/>
      <c r="Q53" s="59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59"/>
      <c r="K54" s="59"/>
      <c r="L54" s="59"/>
      <c r="M54" s="59"/>
      <c r="N54" s="59"/>
      <c r="O54" s="59"/>
      <c r="P54" s="59"/>
      <c r="Q54" s="59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59"/>
      <c r="K55" s="59"/>
      <c r="L55" s="59"/>
      <c r="M55" s="59"/>
      <c r="N55" s="59"/>
      <c r="O55" s="59"/>
      <c r="P55" s="59"/>
      <c r="Q55" s="59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59"/>
      <c r="K56" s="59"/>
      <c r="L56" s="59"/>
      <c r="M56" s="59"/>
      <c r="N56" s="59"/>
      <c r="O56" s="59"/>
      <c r="P56" s="59"/>
      <c r="Q56" s="59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59"/>
      <c r="K57" s="59"/>
      <c r="L57" s="59"/>
      <c r="M57" s="59"/>
      <c r="N57" s="59"/>
      <c r="O57" s="59"/>
      <c r="P57" s="59"/>
      <c r="Q57" s="59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59"/>
      <c r="K58" s="59"/>
      <c r="L58" s="59"/>
      <c r="M58" s="59"/>
      <c r="N58" s="59"/>
      <c r="O58" s="59"/>
      <c r="P58" s="59"/>
      <c r="Q58" s="59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59"/>
      <c r="K59" s="59"/>
      <c r="L59" s="59"/>
      <c r="M59" s="59"/>
      <c r="N59" s="59"/>
      <c r="O59" s="59"/>
      <c r="P59" s="59"/>
      <c r="Q59" s="59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59"/>
      <c r="K60" s="59"/>
      <c r="L60" s="59"/>
      <c r="M60" s="59"/>
      <c r="N60" s="59"/>
      <c r="O60" s="59"/>
      <c r="P60" s="59"/>
      <c r="Q60" s="59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59"/>
      <c r="K61" s="59"/>
      <c r="L61" s="59"/>
      <c r="M61" s="59"/>
      <c r="N61" s="59"/>
      <c r="O61" s="59"/>
      <c r="P61" s="59"/>
      <c r="Q61" s="59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59"/>
      <c r="K62" s="59"/>
      <c r="L62" s="59"/>
      <c r="M62" s="59"/>
      <c r="N62" s="59"/>
      <c r="O62" s="59"/>
      <c r="P62" s="59"/>
      <c r="Q62" s="59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59"/>
      <c r="K63" s="59"/>
      <c r="L63" s="59"/>
      <c r="M63" s="59"/>
      <c r="N63" s="59"/>
      <c r="O63" s="59"/>
      <c r="P63" s="59"/>
      <c r="Q63" s="59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59"/>
      <c r="K64" s="59"/>
      <c r="L64" s="59"/>
      <c r="M64" s="59"/>
      <c r="N64" s="59"/>
      <c r="O64" s="59"/>
      <c r="P64" s="59"/>
      <c r="Q64" s="59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59"/>
      <c r="K65" s="59"/>
      <c r="L65" s="59"/>
      <c r="M65" s="59"/>
      <c r="N65" s="59"/>
      <c r="O65" s="59"/>
      <c r="P65" s="59"/>
      <c r="Q65" s="59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59"/>
      <c r="K66" s="59"/>
      <c r="L66" s="59"/>
      <c r="M66" s="59"/>
      <c r="N66" s="59"/>
      <c r="O66" s="59"/>
      <c r="P66" s="59"/>
      <c r="Q66" s="59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59"/>
      <c r="K67" s="59"/>
      <c r="L67" s="59"/>
      <c r="M67" s="59"/>
      <c r="N67" s="59"/>
      <c r="O67" s="59"/>
      <c r="P67" s="59"/>
      <c r="Q67" s="59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59"/>
      <c r="K68" s="59"/>
      <c r="L68" s="59"/>
      <c r="M68" s="59"/>
      <c r="N68" s="59"/>
      <c r="O68" s="59"/>
      <c r="P68" s="59"/>
      <c r="Q68" s="59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59"/>
      <c r="K69" s="59"/>
      <c r="L69" s="59"/>
      <c r="M69" s="59"/>
      <c r="N69" s="59"/>
      <c r="O69" s="59"/>
      <c r="P69" s="59"/>
      <c r="Q69" s="59"/>
      <c r="R69" s="43"/>
    </row>
  </sheetData>
  <sheetProtection/>
  <mergeCells count="19">
    <mergeCell ref="A1:R1"/>
    <mergeCell ref="B7:E7"/>
    <mergeCell ref="A9:R9"/>
    <mergeCell ref="A10:R10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6"/>
    <mergeCell ref="B34:B36"/>
    <mergeCell ref="D34:D36"/>
    <mergeCell ref="A37:A38"/>
    <mergeCell ref="B37:B38"/>
    <mergeCell ref="D37:D3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v>0</v>
      </c>
      <c r="K5" s="30">
        <v>35.294</v>
      </c>
      <c r="L5" s="24"/>
      <c r="M5" s="30">
        <v>62.94</v>
      </c>
      <c r="N5" s="29">
        <f>F5-G5-J5</f>
        <v>1314.5780000000004</v>
      </c>
      <c r="O5" s="32">
        <f>F5-G5-K5</f>
        <v>1279.2840000000003</v>
      </c>
      <c r="P5" s="33">
        <v>0</v>
      </c>
      <c r="Q5" s="32">
        <f>N5-K5</f>
        <v>1279.2840000000003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v>0</v>
      </c>
      <c r="K6" s="30">
        <v>29.41</v>
      </c>
      <c r="L6" s="24"/>
      <c r="M6" s="31">
        <f>L6/0.9</f>
        <v>0</v>
      </c>
      <c r="N6" s="29">
        <f>F6-G6-J6</f>
        <v>61280.71</v>
      </c>
      <c r="O6" s="32">
        <f>F6-G6-K6</f>
        <v>61251.299999999996</v>
      </c>
      <c r="P6" s="33">
        <v>0</v>
      </c>
      <c r="Q6" s="32">
        <f>N6-K6</f>
        <v>61251.299999999996</v>
      </c>
      <c r="R6" s="34"/>
    </row>
    <row r="7" spans="1:18" ht="76.5" customHeight="1">
      <c r="A7" s="25">
        <v>3</v>
      </c>
      <c r="B7" s="62" t="s">
        <v>24</v>
      </c>
      <c r="C7" s="63"/>
      <c r="D7" s="63"/>
      <c r="E7" s="64"/>
      <c r="F7" s="27">
        <v>289608.3333333334</v>
      </c>
      <c r="G7" s="28">
        <v>167993</v>
      </c>
      <c r="H7" s="23"/>
      <c r="I7" s="23"/>
      <c r="J7" s="29">
        <v>2186.318</v>
      </c>
      <c r="K7" s="30">
        <v>2845.882</v>
      </c>
      <c r="L7" s="24"/>
      <c r="M7" s="31">
        <f>(6017.1-2419)/0.85</f>
        <v>4233.058823529413</v>
      </c>
      <c r="N7" s="29">
        <f>F7-G7-J7</f>
        <v>119429.01533333337</v>
      </c>
      <c r="O7" s="32">
        <f>F7-G7-K7</f>
        <v>118769.45133333337</v>
      </c>
      <c r="P7" s="33">
        <v>0</v>
      </c>
      <c r="Q7" s="32">
        <f>N7-K7</f>
        <v>116583.13333333338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D34:D36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1:R1"/>
    <mergeCell ref="B7:E7"/>
    <mergeCell ref="A32:A33"/>
    <mergeCell ref="B32:B33"/>
    <mergeCell ref="D32:D33"/>
    <mergeCell ref="A34:A36"/>
    <mergeCell ref="B34:B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v>0</v>
      </c>
      <c r="K5" s="30">
        <f>63+35.294</f>
        <v>98.294</v>
      </c>
      <c r="L5" s="24"/>
      <c r="M5" s="30">
        <f>56.5/0.9</f>
        <v>62.77777777777778</v>
      </c>
      <c r="N5" s="29">
        <f>F5-G5-J5</f>
        <v>1314.5780000000004</v>
      </c>
      <c r="O5" s="32">
        <f>F5-G5-K5</f>
        <v>1216.2840000000003</v>
      </c>
      <c r="P5" s="33">
        <v>0</v>
      </c>
      <c r="Q5" s="32">
        <f>N5-K5</f>
        <v>1216.2840000000003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v>0</v>
      </c>
      <c r="K6" s="30">
        <f>0+29.41</f>
        <v>29.41</v>
      </c>
      <c r="L6" s="24"/>
      <c r="M6" s="31">
        <f>2739.5/0.9</f>
        <v>3043.8888888888887</v>
      </c>
      <c r="N6" s="29">
        <f>F6-G6-J6</f>
        <v>61280.71</v>
      </c>
      <c r="O6" s="32">
        <f>F6-G6-K6</f>
        <v>61251.299999999996</v>
      </c>
      <c r="P6" s="33">
        <v>0</v>
      </c>
      <c r="Q6" s="32">
        <f>N6-K6</f>
        <v>61251.299999999996</v>
      </c>
      <c r="R6" s="34"/>
    </row>
    <row r="7" spans="1:18" ht="76.5" customHeight="1">
      <c r="A7" s="25">
        <v>3</v>
      </c>
      <c r="B7" s="62" t="s">
        <v>24</v>
      </c>
      <c r="C7" s="63"/>
      <c r="D7" s="63"/>
      <c r="E7" s="64"/>
      <c r="F7" s="27">
        <v>289608.3333333334</v>
      </c>
      <c r="G7" s="28">
        <v>167993</v>
      </c>
      <c r="H7" s="23"/>
      <c r="I7" s="23"/>
      <c r="J7" s="29">
        <f>5209.17/0.9</f>
        <v>5787.966666666666</v>
      </c>
      <c r="K7" s="30">
        <f>5208.4/0.9</f>
        <v>5787.11111111111</v>
      </c>
      <c r="L7" s="24"/>
      <c r="M7" s="31">
        <f>13691/0.9</f>
        <v>15212.222222222223</v>
      </c>
      <c r="N7" s="29">
        <f>F7-G7-J7</f>
        <v>115827.36666666671</v>
      </c>
      <c r="O7" s="32">
        <f>F7-G7-K7</f>
        <v>115828.22222222226</v>
      </c>
      <c r="P7" s="33">
        <v>0</v>
      </c>
      <c r="Q7" s="32">
        <f>N7-K7</f>
        <v>110040.2555555556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E5" sqref="E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f>23/0.9</f>
        <v>25.555555555555554</v>
      </c>
      <c r="K5" s="30">
        <f>181.5/0.9</f>
        <v>201.66666666666666</v>
      </c>
      <c r="L5" s="24"/>
      <c r="M5" s="30">
        <f>15/0.9</f>
        <v>16.666666666666668</v>
      </c>
      <c r="N5" s="29">
        <f>F5-G5-J5</f>
        <v>1289.0224444444448</v>
      </c>
      <c r="O5" s="32">
        <f>F5-G5-K5</f>
        <v>1112.9113333333337</v>
      </c>
      <c r="P5" s="33">
        <v>0</v>
      </c>
      <c r="Q5" s="32">
        <f>N5-K5</f>
        <v>1087.355777777778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f>78.5/0.9</f>
        <v>87.22222222222221</v>
      </c>
      <c r="K6" s="30">
        <f>245.2/0.9</f>
        <v>272.4444444444444</v>
      </c>
      <c r="L6" s="24"/>
      <c r="M6" s="31">
        <f>1617/0.9</f>
        <v>1796.6666666666665</v>
      </c>
      <c r="N6" s="29">
        <f>F6-G6-J6</f>
        <v>61193.48777777778</v>
      </c>
      <c r="O6" s="32">
        <f>F6-G6-K6</f>
        <v>61008.265555555554</v>
      </c>
      <c r="P6" s="33">
        <v>0</v>
      </c>
      <c r="Q6" s="32">
        <f>N6-K6</f>
        <v>60921.043333333335</v>
      </c>
      <c r="R6" s="34"/>
    </row>
    <row r="7" spans="1:18" ht="76.5" customHeight="1">
      <c r="A7" s="25">
        <v>3</v>
      </c>
      <c r="B7" s="62" t="s">
        <v>24</v>
      </c>
      <c r="C7" s="63"/>
      <c r="D7" s="63"/>
      <c r="E7" s="64"/>
      <c r="F7" s="27">
        <v>289608.3333333334</v>
      </c>
      <c r="G7" s="28">
        <v>167993</v>
      </c>
      <c r="H7" s="23"/>
      <c r="I7" s="23"/>
      <c r="J7" s="29">
        <f>8564.97/0.9</f>
        <v>9516.633333333333</v>
      </c>
      <c r="K7" s="30">
        <f>7903.2/0.9</f>
        <v>8781.333333333332</v>
      </c>
      <c r="L7" s="24"/>
      <c r="M7" s="31">
        <f>4620.1/0.9</f>
        <v>5133.444444444444</v>
      </c>
      <c r="N7" s="29">
        <f>F7-G7-J7</f>
        <v>112098.70000000004</v>
      </c>
      <c r="O7" s="32">
        <f>F7-G7-K7</f>
        <v>112834.00000000004</v>
      </c>
      <c r="P7" s="33">
        <v>0</v>
      </c>
      <c r="Q7" s="32">
        <f>N7-K7</f>
        <v>103317.36666666671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f>108/0.9</f>
        <v>120</v>
      </c>
      <c r="K5" s="30">
        <f>363.5/0.9</f>
        <v>403.88888888888886</v>
      </c>
      <c r="L5" s="24"/>
      <c r="M5" s="30">
        <f>0</f>
        <v>0</v>
      </c>
      <c r="N5" s="29">
        <f>F5-G5-J5</f>
        <v>1194.5780000000004</v>
      </c>
      <c r="O5" s="32">
        <f>F5-G5-K5</f>
        <v>910.6891111111115</v>
      </c>
      <c r="P5" s="33">
        <v>0</v>
      </c>
      <c r="Q5" s="32">
        <f>N5-K5</f>
        <v>790.6891111111115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f>175.5/0.9</f>
        <v>195</v>
      </c>
      <c r="K6" s="30">
        <f>2036.2/0.9</f>
        <v>2262.4444444444443</v>
      </c>
      <c r="L6" s="24"/>
      <c r="M6" s="31">
        <f>33/0.9</f>
        <v>36.666666666666664</v>
      </c>
      <c r="N6" s="29">
        <f>F6-G6-J6</f>
        <v>61085.71</v>
      </c>
      <c r="O6" s="32">
        <f>F6-G6-K6</f>
        <v>59018.265555555554</v>
      </c>
      <c r="P6" s="33">
        <v>0</v>
      </c>
      <c r="Q6" s="32">
        <f>N6-K6</f>
        <v>58823.265555555554</v>
      </c>
      <c r="R6" s="34"/>
    </row>
    <row r="7" spans="1:18" ht="76.5" customHeight="1">
      <c r="A7" s="25">
        <v>3</v>
      </c>
      <c r="B7" s="62" t="s">
        <v>24</v>
      </c>
      <c r="C7" s="63"/>
      <c r="D7" s="63"/>
      <c r="E7" s="64"/>
      <c r="F7" s="27">
        <v>289608.3333333334</v>
      </c>
      <c r="G7" s="28">
        <v>167993</v>
      </c>
      <c r="H7" s="23"/>
      <c r="I7" s="23"/>
      <c r="J7" s="29">
        <f>14533.97/0.9</f>
        <v>16148.855555555554</v>
      </c>
      <c r="K7" s="30">
        <f>12233.9/0.9</f>
        <v>13593.22222222222</v>
      </c>
      <c r="L7" s="24"/>
      <c r="M7" s="31">
        <f>6348.5/0.9</f>
        <v>7053.888888888889</v>
      </c>
      <c r="N7" s="29">
        <f>F7-G7-J7</f>
        <v>105466.47777777782</v>
      </c>
      <c r="O7" s="32">
        <f>F7-G7-K7</f>
        <v>108022.11111111115</v>
      </c>
      <c r="P7" s="33">
        <v>0</v>
      </c>
      <c r="Q7" s="32">
        <f>N7-K7</f>
        <v>91873.2555555556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J5" sqref="J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0/0.9</f>
        <v>0</v>
      </c>
      <c r="K5" s="30">
        <f>424/0.9</f>
        <v>471.1111111111111</v>
      </c>
      <c r="L5" s="24"/>
      <c r="M5" s="30">
        <f>15/0.9</f>
        <v>16.666666666666668</v>
      </c>
      <c r="N5" s="29">
        <f>F5-G5-J5</f>
        <v>2792.5555555555557</v>
      </c>
      <c r="O5" s="32">
        <f>F5-G5-K5</f>
        <v>2321.4444444444443</v>
      </c>
      <c r="P5" s="33">
        <v>0</v>
      </c>
      <c r="Q5" s="32">
        <f>N5-K5</f>
        <v>2321.4444444444443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23.5/0.9</f>
        <v>26.11111111111111</v>
      </c>
      <c r="K6" s="30">
        <f>2231.2/0.9</f>
        <v>2479.111111111111</v>
      </c>
      <c r="L6" s="24"/>
      <c r="M6" s="31">
        <f>15/0.9</f>
        <v>16.666666666666668</v>
      </c>
      <c r="N6" s="29">
        <f>F6-G6-J6</f>
        <v>62735.222222222226</v>
      </c>
      <c r="O6" s="32">
        <f>F6-G6-K6</f>
        <v>60282.222222222226</v>
      </c>
      <c r="P6" s="33">
        <v>0</v>
      </c>
      <c r="Q6" s="32">
        <f>N6-K6</f>
        <v>60256.11111111112</v>
      </c>
      <c r="R6" s="34"/>
    </row>
    <row r="7" spans="1:18" ht="76.5" customHeight="1">
      <c r="A7" s="25">
        <v>3</v>
      </c>
      <c r="B7" s="62" t="s">
        <v>24</v>
      </c>
      <c r="C7" s="63"/>
      <c r="D7" s="63"/>
      <c r="E7" s="64"/>
      <c r="F7" s="27">
        <f>485033/0.9</f>
        <v>538925.5555555555</v>
      </c>
      <c r="G7" s="28">
        <f>143140.4/0.9</f>
        <v>159044.88888888888</v>
      </c>
      <c r="H7" s="23"/>
      <c r="I7" s="23"/>
      <c r="J7" s="29">
        <f>2596.5/0.9</f>
        <v>2885</v>
      </c>
      <c r="K7" s="30">
        <f>(12248.9-2596.5+2884.4)/0.9</f>
        <v>13929.777777777777</v>
      </c>
      <c r="L7" s="24"/>
      <c r="M7" s="31">
        <f>8222.505/0.9</f>
        <v>9136.116666666665</v>
      </c>
      <c r="N7" s="29">
        <f>F7-G7-J7</f>
        <v>376995.6666666666</v>
      </c>
      <c r="O7" s="32">
        <f>F7-G7-K7</f>
        <v>365950.8888888889</v>
      </c>
      <c r="P7" s="33">
        <v>0</v>
      </c>
      <c r="Q7" s="32">
        <f>N7-K7</f>
        <v>363065.8888888889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5" sqref="K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90.03/0.9</f>
        <v>100.03333333333333</v>
      </c>
      <c r="K5" s="30">
        <f>583/0.9</f>
        <v>647.7777777777777</v>
      </c>
      <c r="L5" s="24"/>
      <c r="M5" s="30">
        <f>1375/0.9</f>
        <v>1527.7777777777778</v>
      </c>
      <c r="N5" s="29">
        <f>F5-G5-J5</f>
        <v>2692.5222222222224</v>
      </c>
      <c r="O5" s="32">
        <f>F5-G5-K5</f>
        <v>2144.777777777778</v>
      </c>
      <c r="P5" s="33">
        <v>0</v>
      </c>
      <c r="Q5" s="32">
        <f>N5-K5</f>
        <v>2044.7444444444445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53.5/0.9</f>
        <v>59.44444444444444</v>
      </c>
      <c r="K6" s="30">
        <f>7629.2/0.9</f>
        <v>8476.888888888889</v>
      </c>
      <c r="L6" s="24"/>
      <c r="M6" s="31">
        <f>1430/0.9</f>
        <v>1588.888888888889</v>
      </c>
      <c r="N6" s="29">
        <f>F6-G6-J6</f>
        <v>62701.88888888889</v>
      </c>
      <c r="O6" s="32">
        <f>F6-G6-K6</f>
        <v>54284.444444444445</v>
      </c>
      <c r="P6" s="33">
        <v>0</v>
      </c>
      <c r="Q6" s="32">
        <f>N6-K6</f>
        <v>54225</v>
      </c>
      <c r="R6" s="34"/>
    </row>
    <row r="7" spans="1:18" ht="76.5" customHeight="1">
      <c r="A7" s="25">
        <v>3</v>
      </c>
      <c r="B7" s="62" t="s">
        <v>24</v>
      </c>
      <c r="C7" s="63"/>
      <c r="D7" s="63"/>
      <c r="E7" s="64"/>
      <c r="F7" s="32">
        <f>485033/0.9</f>
        <v>538925.5555555555</v>
      </c>
      <c r="G7" s="28">
        <f>143140.4/0.9</f>
        <v>159044.88888888888</v>
      </c>
      <c r="H7" s="23"/>
      <c r="I7" s="23"/>
      <c r="J7" s="29">
        <f>(2596.5+2159)/0.9</f>
        <v>5283.888888888889</v>
      </c>
      <c r="K7" s="30">
        <f>37793.16/0.9</f>
        <v>41992.4</v>
      </c>
      <c r="L7" s="24"/>
      <c r="M7" s="31">
        <f>7856.5/0.9</f>
        <v>8729.444444444443</v>
      </c>
      <c r="N7" s="29">
        <f>F7-G7-J7</f>
        <v>374596.77777777775</v>
      </c>
      <c r="O7" s="32">
        <f>F7-G7-K7</f>
        <v>337888.2666666666</v>
      </c>
      <c r="P7" s="33">
        <v>0</v>
      </c>
      <c r="Q7" s="32">
        <f>N7-K7</f>
        <v>332604.3777777777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J7" sqref="J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90/0.9</f>
        <v>100</v>
      </c>
      <c r="K5" s="30">
        <f>751.5/0.9</f>
        <v>835</v>
      </c>
      <c r="L5" s="24"/>
      <c r="M5" s="30">
        <f>1436.5/0.9</f>
        <v>1596.111111111111</v>
      </c>
      <c r="N5" s="29">
        <f>F5-G5-J5</f>
        <v>2692.5555555555557</v>
      </c>
      <c r="O5" s="32">
        <f>F5-G5-K5</f>
        <v>1957.5555555555557</v>
      </c>
      <c r="P5" s="33">
        <v>0</v>
      </c>
      <c r="Q5" s="32">
        <f>N5-K5</f>
        <v>1857.5555555555557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74.5/0.9</f>
        <v>82.77777777777777</v>
      </c>
      <c r="K6" s="30">
        <f>2689.2/0.9</f>
        <v>2987.9999999999995</v>
      </c>
      <c r="L6" s="24"/>
      <c r="M6" s="31">
        <f>1460/0.9</f>
        <v>1622.2222222222222</v>
      </c>
      <c r="N6" s="29">
        <f>F6-G6-J6</f>
        <v>62678.555555555555</v>
      </c>
      <c r="O6" s="32">
        <f>F6-G6-K6</f>
        <v>59773.333333333336</v>
      </c>
      <c r="P6" s="33">
        <v>0</v>
      </c>
      <c r="Q6" s="32">
        <f>N6-K6</f>
        <v>59690.555555555555</v>
      </c>
      <c r="R6" s="34"/>
    </row>
    <row r="7" spans="1:18" ht="76.5" customHeight="1">
      <c r="A7" s="25">
        <v>3</v>
      </c>
      <c r="B7" s="62" t="s">
        <v>24</v>
      </c>
      <c r="C7" s="63"/>
      <c r="D7" s="63"/>
      <c r="E7" s="64"/>
      <c r="F7" s="32">
        <f>485033/0.9</f>
        <v>538925.5555555555</v>
      </c>
      <c r="G7" s="28">
        <f>143140.4/0.9</f>
        <v>159044.88888888888</v>
      </c>
      <c r="H7" s="23"/>
      <c r="I7" s="23"/>
      <c r="J7" s="29">
        <f>8106.615/0.9</f>
        <v>9007.35</v>
      </c>
      <c r="K7" s="30">
        <f>38476.595/0.9</f>
        <v>42751.77222222222</v>
      </c>
      <c r="L7" s="24"/>
      <c r="M7" s="31">
        <f>8982.9/0.9</f>
        <v>9981</v>
      </c>
      <c r="N7" s="29">
        <f>F7-G7-J7</f>
        <v>370873.31666666665</v>
      </c>
      <c r="O7" s="32">
        <f>F7-G7-K7</f>
        <v>337128.8944444444</v>
      </c>
      <c r="P7" s="33">
        <v>0</v>
      </c>
      <c r="Q7" s="32">
        <f>N7-K7</f>
        <v>328121.5444444444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42" bottom="0.3937007874015748" header="0" footer="0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B1">
      <selection activeCell="G5" sqref="G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4927/0.9</f>
        <v>5474.444444444444</v>
      </c>
      <c r="H5" s="23"/>
      <c r="I5" s="23"/>
      <c r="J5" s="47">
        <f>65/0.9</f>
        <v>72.22222222222221</v>
      </c>
      <c r="K5" s="28">
        <f>754/0.9</f>
        <v>837.7777777777777</v>
      </c>
      <c r="L5" s="48"/>
      <c r="M5" s="28">
        <f>1435/0.9</f>
        <v>1594.4444444444443</v>
      </c>
      <c r="N5" s="47">
        <f>F5-G5-J5</f>
        <v>1068.3333333333335</v>
      </c>
      <c r="O5" s="32">
        <f>F5-G5-K5</f>
        <v>302.77777777777794</v>
      </c>
      <c r="P5" s="33">
        <v>0</v>
      </c>
      <c r="Q5" s="32">
        <f>N5-K5</f>
        <v>230.55555555555577</v>
      </c>
      <c r="R5" s="46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8069/0.9</f>
        <v>8965.555555555555</v>
      </c>
      <c r="H6" s="23"/>
      <c r="I6" s="23"/>
      <c r="J6" s="47">
        <f>75/0.9</f>
        <v>83.33333333333333</v>
      </c>
      <c r="K6" s="28">
        <f>6429.2/0.9</f>
        <v>7143.555555555555</v>
      </c>
      <c r="L6" s="48"/>
      <c r="M6" s="49">
        <f>1400/0.9</f>
        <v>1555.5555555555554</v>
      </c>
      <c r="N6" s="47">
        <f>F6-G6-J6</f>
        <v>57101.11111111111</v>
      </c>
      <c r="O6" s="32">
        <f>F6-G6-K6</f>
        <v>50040.88888888889</v>
      </c>
      <c r="P6" s="33">
        <v>0</v>
      </c>
      <c r="Q6" s="32">
        <f>N6-K6</f>
        <v>49957.555555555555</v>
      </c>
      <c r="R6" s="46"/>
    </row>
    <row r="7" spans="1:18" ht="76.5" customHeight="1">
      <c r="A7" s="25">
        <v>3</v>
      </c>
      <c r="B7" s="62" t="s">
        <v>24</v>
      </c>
      <c r="C7" s="63"/>
      <c r="D7" s="63"/>
      <c r="E7" s="64"/>
      <c r="F7" s="32">
        <f>485033/0.9</f>
        <v>538925.5555555555</v>
      </c>
      <c r="G7" s="28">
        <f>179096/0.9</f>
        <v>198995.55555555556</v>
      </c>
      <c r="H7" s="23"/>
      <c r="I7" s="23"/>
      <c r="J7" s="47">
        <f>1587.77/0.9</f>
        <v>1764.1888888888889</v>
      </c>
      <c r="K7" s="28">
        <f>42019.965/0.9</f>
        <v>46688.85</v>
      </c>
      <c r="L7" s="48"/>
      <c r="M7" s="49">
        <f>6975.2/0.9</f>
        <v>7750.222222222222</v>
      </c>
      <c r="N7" s="47">
        <f>F7-G7-J7</f>
        <v>338165.8111111111</v>
      </c>
      <c r="O7" s="32">
        <f>F7-G7-K7</f>
        <v>293241.14999999997</v>
      </c>
      <c r="P7" s="33">
        <v>0</v>
      </c>
      <c r="Q7" s="32">
        <f>N7-K7</f>
        <v>291476.9611111111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69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12.75">
      <c r="A10" s="69" t="s">
        <v>37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65"/>
      <c r="B28" s="66"/>
      <c r="C28" s="1"/>
      <c r="D28" s="67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65"/>
      <c r="B29" s="66"/>
      <c r="C29" s="1"/>
      <c r="D29" s="67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65"/>
      <c r="B30" s="66"/>
      <c r="C30" s="1"/>
      <c r="D30" s="67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65"/>
      <c r="B31" s="68"/>
      <c r="C31" s="1"/>
      <c r="D31" s="67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65"/>
      <c r="B32" s="66"/>
      <c r="C32" s="1"/>
      <c r="D32" s="67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65"/>
      <c r="B33" s="66"/>
      <c r="C33" s="1"/>
      <c r="D33" s="67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65"/>
      <c r="B34" s="66"/>
      <c r="C34" s="1"/>
      <c r="D34" s="67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65"/>
      <c r="B35" s="66"/>
      <c r="C35" s="1"/>
      <c r="D35" s="67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65"/>
      <c r="B36" s="66"/>
      <c r="C36" s="1"/>
      <c r="D36" s="67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65"/>
      <c r="B37" s="66"/>
      <c r="C37" s="1"/>
      <c r="D37" s="67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65"/>
      <c r="B38" s="66"/>
      <c r="C38" s="1"/>
      <c r="D38" s="67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A37:A38"/>
    <mergeCell ref="B37:B38"/>
    <mergeCell ref="D37:D38"/>
    <mergeCell ref="A9:R9"/>
    <mergeCell ref="A10:R10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42" bottom="0.3937007874015748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2013-12-30T08:19:19Z</cp:lastPrinted>
  <dcterms:created xsi:type="dcterms:W3CDTF">2010-09-30T07:06:40Z</dcterms:created>
  <dcterms:modified xsi:type="dcterms:W3CDTF">2013-12-30T10:44:29Z</dcterms:modified>
  <cp:category/>
  <cp:version/>
  <cp:contentType/>
  <cp:contentStatus/>
</cp:coreProperties>
</file>